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C:\Users\User\Documents\LCM\YEAR 3\Research Project\"/>
    </mc:Choice>
  </mc:AlternateContent>
  <bookViews>
    <workbookView xWindow="0" yWindow="0" windowWidth="21600" windowHeight="10050" xr2:uid="{00000000-000D-0000-FFFF-FFFF00000000}"/>
  </bookViews>
  <sheets>
    <sheet name="Personal budget" sheetId="1" r:id="rId1"/>
  </sheets>
  <definedNames>
    <definedName name="_xlnm.Print_Titles" localSheetId="0">'Personal budget'!$2:$2</definedName>
  </definedNames>
  <calcPr calcId="171026"/>
  <webPublishing codePage="1252"/>
  <fileRecoveryPr autoRecover="0"/>
</workbook>
</file>

<file path=xl/calcChain.xml><?xml version="1.0" encoding="utf-8"?>
<calcChain xmlns="http://schemas.openxmlformats.org/spreadsheetml/2006/main">
  <c r="N33" i="1" l="1"/>
  <c r="N34" i="1"/>
  <c r="N35" i="1"/>
  <c r="B37" i="1"/>
  <c r="C37" i="1"/>
  <c r="D37" i="1"/>
  <c r="E37" i="1"/>
  <c r="F37" i="1"/>
  <c r="G37" i="1"/>
  <c r="H37" i="1"/>
  <c r="I37" i="1"/>
  <c r="J37" i="1"/>
  <c r="K37" i="1"/>
  <c r="L37" i="1"/>
  <c r="M37" i="1"/>
  <c r="N36" i="1"/>
  <c r="B31" i="1"/>
  <c r="C31" i="1"/>
  <c r="D31" i="1"/>
  <c r="E31" i="1"/>
  <c r="F31" i="1"/>
  <c r="G31" i="1"/>
  <c r="H31" i="1"/>
  <c r="I31" i="1"/>
  <c r="J31" i="1"/>
  <c r="K31" i="1"/>
  <c r="L31" i="1"/>
  <c r="M31" i="1"/>
  <c r="N37" i="1" l="1"/>
  <c r="N46" i="1"/>
  <c r="N58" i="1"/>
  <c r="N57" i="1"/>
  <c r="N44" i="1"/>
  <c r="N50" i="1"/>
  <c r="N51" i="1"/>
  <c r="N45" i="1"/>
  <c r="N40" i="1"/>
  <c r="N29" i="1"/>
  <c r="N30" i="1"/>
  <c r="N17" i="1"/>
  <c r="N21" i="1"/>
  <c r="N22" i="1"/>
  <c r="N25" i="1"/>
  <c r="N26" i="1"/>
  <c r="N54" i="1"/>
  <c r="N49" i="1"/>
  <c r="N43" i="1"/>
  <c r="N39" i="1"/>
  <c r="N20" i="1"/>
  <c r="N12" i="1"/>
  <c r="N13" i="1"/>
  <c r="N6" i="1"/>
  <c r="N7" i="1"/>
  <c r="N8" i="1"/>
  <c r="N16" i="1"/>
  <c r="C55" i="1"/>
  <c r="D55" i="1"/>
  <c r="E55" i="1"/>
  <c r="F55" i="1"/>
  <c r="G55" i="1"/>
  <c r="H55" i="1"/>
  <c r="I55" i="1"/>
  <c r="J55" i="1"/>
  <c r="K55" i="1"/>
  <c r="L55" i="1"/>
  <c r="M55" i="1"/>
  <c r="B55" i="1"/>
  <c r="I52" i="1"/>
  <c r="J52" i="1"/>
  <c r="K52" i="1"/>
  <c r="L52" i="1"/>
  <c r="M52" i="1"/>
  <c r="H52" i="1"/>
  <c r="G52" i="1"/>
  <c r="F52" i="1"/>
  <c r="E52" i="1"/>
  <c r="D52" i="1"/>
  <c r="C52" i="1"/>
  <c r="B52" i="1"/>
  <c r="M47" i="1"/>
  <c r="L47" i="1"/>
  <c r="K47" i="1"/>
  <c r="J47" i="1"/>
  <c r="I47" i="1"/>
  <c r="H47" i="1"/>
  <c r="G47" i="1"/>
  <c r="F47" i="1"/>
  <c r="E47" i="1"/>
  <c r="D47" i="1"/>
  <c r="C47" i="1"/>
  <c r="B47" i="1"/>
  <c r="M41" i="1"/>
  <c r="L41" i="1"/>
  <c r="K41" i="1"/>
  <c r="J41" i="1"/>
  <c r="I41" i="1"/>
  <c r="H41" i="1"/>
  <c r="G41" i="1"/>
  <c r="F41" i="1"/>
  <c r="E41" i="1"/>
  <c r="D41" i="1"/>
  <c r="C41" i="1"/>
  <c r="B41" i="1"/>
  <c r="M27" i="1"/>
  <c r="L27" i="1"/>
  <c r="K27" i="1"/>
  <c r="J27" i="1"/>
  <c r="I27" i="1"/>
  <c r="H27" i="1"/>
  <c r="G27" i="1"/>
  <c r="F27" i="1"/>
  <c r="E27" i="1"/>
  <c r="D27" i="1"/>
  <c r="C27" i="1"/>
  <c r="B27" i="1"/>
  <c r="M23" i="1"/>
  <c r="L23" i="1"/>
  <c r="K23" i="1"/>
  <c r="J23" i="1"/>
  <c r="I23" i="1"/>
  <c r="H23" i="1"/>
  <c r="G23" i="1"/>
  <c r="F23" i="1"/>
  <c r="E23" i="1"/>
  <c r="D23" i="1"/>
  <c r="C23" i="1"/>
  <c r="B23" i="1"/>
  <c r="M18" i="1"/>
  <c r="L18" i="1"/>
  <c r="K18" i="1"/>
  <c r="J18" i="1"/>
  <c r="I18" i="1"/>
  <c r="H18" i="1"/>
  <c r="G18" i="1"/>
  <c r="F18" i="1"/>
  <c r="E18" i="1"/>
  <c r="D18" i="1"/>
  <c r="C18" i="1"/>
  <c r="B18" i="1"/>
  <c r="M14" i="1"/>
  <c r="L14" i="1"/>
  <c r="K14" i="1"/>
  <c r="J14" i="1"/>
  <c r="I14" i="1"/>
  <c r="H14" i="1"/>
  <c r="G14" i="1"/>
  <c r="F14" i="1"/>
  <c r="E14" i="1"/>
  <c r="D14" i="1"/>
  <c r="C14" i="1"/>
  <c r="B14" i="1"/>
  <c r="M9" i="1"/>
  <c r="L9" i="1"/>
  <c r="K9" i="1"/>
  <c r="J9" i="1"/>
  <c r="I9" i="1"/>
  <c r="H9" i="1"/>
  <c r="G9" i="1"/>
  <c r="F9" i="1"/>
  <c r="E9" i="1"/>
  <c r="D9" i="1"/>
  <c r="C9" i="1"/>
  <c r="B9" i="1"/>
  <c r="M59" i="1"/>
  <c r="L59" i="1"/>
  <c r="K59" i="1"/>
  <c r="J59" i="1"/>
  <c r="I59" i="1"/>
  <c r="H59" i="1"/>
  <c r="G59" i="1"/>
  <c r="F59" i="1"/>
  <c r="E59" i="1"/>
  <c r="D59" i="1"/>
  <c r="C59" i="1"/>
  <c r="B59" i="1"/>
  <c r="N59" i="1" l="1"/>
  <c r="N31" i="1"/>
  <c r="N41" i="1"/>
  <c r="N18" i="1"/>
  <c r="N47" i="1"/>
  <c r="N27" i="1"/>
  <c r="E3" i="1"/>
  <c r="E4" i="1" s="1"/>
  <c r="N9" i="1"/>
  <c r="N52" i="1"/>
  <c r="I3" i="1"/>
  <c r="I4" i="1" s="1"/>
  <c r="N14" i="1"/>
  <c r="N23" i="1"/>
  <c r="N55" i="1"/>
  <c r="C3" i="1"/>
  <c r="C4" i="1" s="1"/>
  <c r="K3" i="1"/>
  <c r="K4" i="1" s="1"/>
  <c r="D3" i="1"/>
  <c r="D4" i="1" s="1"/>
  <c r="B3" i="1"/>
  <c r="B4" i="1" s="1"/>
  <c r="F3" i="1"/>
  <c r="F4" i="1" s="1"/>
  <c r="J3" i="1"/>
  <c r="J4" i="1" s="1"/>
  <c r="G3" i="1"/>
  <c r="G4" i="1" s="1"/>
  <c r="M3" i="1"/>
  <c r="M4" i="1" s="1"/>
  <c r="L3" i="1"/>
  <c r="L4" i="1" s="1"/>
  <c r="H3" i="1"/>
  <c r="H4" i="1" s="1"/>
  <c r="N4" i="1" l="1"/>
  <c r="N3" i="1"/>
</calcChain>
</file>

<file path=xl/sharedStrings.xml><?xml version="1.0" encoding="utf-8"?>
<sst xmlns="http://schemas.openxmlformats.org/spreadsheetml/2006/main" count="164" uniqueCount="61">
  <si>
    <t>Personal Budget - Southampton living 2018-2019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</si>
  <si>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</si>
  <si>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</si>
  <si>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</si>
  <si>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</si>
  <si>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</si>
  <si>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</si>
  <si>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</si>
  <si>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</si>
  <si>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</si>
  <si>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</si>
  <si>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</si>
  <si>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</si>
  <si>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Year</t>
  </si>
  <si>
    <t>Total expenses</t>
  </si>
  <si>
    <t>Cash short/extra</t>
  </si>
  <si>
    <t>Income</t>
  </si>
  <si>
    <t>Wages</t>
  </si>
  <si>
    <t>Interest/dividends</t>
  </si>
  <si>
    <t>Miscellaneous (cash tips/bonus)</t>
  </si>
  <si>
    <t>Total</t>
  </si>
  <si>
    <t>Expenses</t>
  </si>
  <si>
    <t>Home</t>
  </si>
  <si>
    <t>Mortgage/rent</t>
  </si>
  <si>
    <t>N/A</t>
  </si>
  <si>
    <t>Cellular telephone</t>
  </si>
  <si>
    <t>Daily living</t>
  </si>
  <si>
    <t xml:space="preserve">Groceries </t>
  </si>
  <si>
    <t>Dining out</t>
  </si>
  <si>
    <t>Transportation</t>
  </si>
  <si>
    <t>Gas/fuel</t>
  </si>
  <si>
    <t>Insurance</t>
  </si>
  <si>
    <t>Public transportation</t>
  </si>
  <si>
    <t>Entertainment</t>
  </si>
  <si>
    <t>Movies/plays</t>
  </si>
  <si>
    <t>Concerts/clubs</t>
  </si>
  <si>
    <t>Health</t>
  </si>
  <si>
    <t>Over-the-counter drugs</t>
  </si>
  <si>
    <t>Life insurance</t>
  </si>
  <si>
    <t>Vacations</t>
  </si>
  <si>
    <t>Plane fare</t>
  </si>
  <si>
    <t>Accommodations</t>
  </si>
  <si>
    <t>Pet boarding</t>
  </si>
  <si>
    <t>Rental car</t>
  </si>
  <si>
    <t>Recreation</t>
  </si>
  <si>
    <t>Gym fees</t>
  </si>
  <si>
    <t>Dues/subscriptions</t>
  </si>
  <si>
    <t>Magazines</t>
  </si>
  <si>
    <t>Spotlight membership</t>
  </si>
  <si>
    <t>Equity Membership</t>
  </si>
  <si>
    <t>Railcard</t>
  </si>
  <si>
    <t>Personal</t>
  </si>
  <si>
    <t>Clothing</t>
  </si>
  <si>
    <t>Gifts</t>
  </si>
  <si>
    <t>Salon/barber</t>
  </si>
  <si>
    <t>Financial obligations</t>
  </si>
  <si>
    <t>Long-term savings</t>
  </si>
  <si>
    <t>Misc. payments</t>
  </si>
  <si>
    <t>Headshots</t>
  </si>
  <si>
    <t>Audition material</t>
  </si>
  <si>
    <t>Dance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</si>
</sst>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8">
    <font>
      <sz val="11"/>
      <name val="Calibri"/>
      <family val="2"/>
      <scheme val="minor"/>
    </font>
    <font>
      <sz val="20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sz val="10"/>
      <color theme="3"/>
      <name val="Calibri"/>
      <family val="2"/>
      <scheme val="minor"/>
    </font>
    <font>
      <b/>
      <sz val="11"/>
      <color theme="0"/>
      <name val="Calibri"/>
      <family val="2"/>
      <scheme val="major"/>
    </font>
    <font>
      <sz val="11"/>
      <name val="Calibri"/>
      <family val="2"/>
      <scheme val="major"/>
    </font>
    <font>
      <sz val="10"/>
      <color theme="3"/>
      <name val="Calibri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</borders>
  <cellStyleXfs count="8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2" fillId="4" borderId="2" applyNumberFormat="0" applyProtection="0">
      <alignment vertical="center"/>
    </xf>
    <xf numFmtId="0" fontId="4" fillId="3" borderId="1" applyNumberFormat="0" applyProtection="0">
      <alignment horizontal="center" vertical="center"/>
    </xf>
    <xf numFmtId="0" fontId="4" fillId="3" borderId="1" applyNumberFormat="0" applyProtection="0">
      <alignment vertical="center"/>
    </xf>
    <xf numFmtId="0" fontId="5" fillId="2" borderId="3" applyNumberFormat="0" applyProtection="0">
      <alignment vertical="center"/>
    </xf>
    <xf numFmtId="164" fontId="3" fillId="0" borderId="3" applyFill="0" applyProtection="0">
      <alignment vertical="center"/>
    </xf>
    <xf numFmtId="164" fontId="3" fillId="2" borderId="3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64" fontId="3" fillId="0" borderId="3" xfId="6">
      <alignment vertical="center"/>
    </xf>
    <xf numFmtId="164" fontId="3" fillId="2" borderId="3" xfId="6" applyFill="1">
      <alignment vertical="center"/>
    </xf>
    <xf numFmtId="164" fontId="0" fillId="0" borderId="0" xfId="6" applyFont="1" applyFill="1" applyBorder="1">
      <alignment vertical="center"/>
    </xf>
    <xf numFmtId="0" fontId="4" fillId="3" borderId="1" xfId="3">
      <alignment horizontal="center" vertical="center"/>
    </xf>
    <xf numFmtId="164" fontId="3" fillId="0" borderId="3" xfId="6" applyFill="1">
      <alignment vertical="center"/>
    </xf>
    <xf numFmtId="0" fontId="5" fillId="2" borderId="3" xfId="5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4" fillId="3" borderId="1" xfId="3" applyAlignment="1">
      <alignment horizontal="center" vertical="center" wrapText="1"/>
    </xf>
    <xf numFmtId="0" fontId="4" fillId="3" borderId="1" xfId="4">
      <alignment vertical="center"/>
    </xf>
    <xf numFmtId="0" fontId="1" fillId="0" borderId="0" xfId="1" applyNumberFormat="1" applyAlignment="1">
      <alignment vertical="center"/>
    </xf>
    <xf numFmtId="0" fontId="2" fillId="4" borderId="2" xfId="2">
      <alignment vertical="center"/>
    </xf>
    <xf numFmtId="164" fontId="3" fillId="2" borderId="3" xfId="7" applyFill="1">
      <alignment vertical="center"/>
    </xf>
    <xf numFmtId="164" fontId="3" fillId="0" borderId="3" xfId="7" applyFill="1">
      <alignment vertical="center"/>
    </xf>
    <xf numFmtId="164" fontId="0" fillId="0" borderId="0" xfId="7" applyFont="1" applyFill="1" applyBorder="1">
      <alignment vertical="center"/>
    </xf>
    <xf numFmtId="0" fontId="0" fillId="0" borderId="0" xfId="0" applyFill="1" applyAlignment="1">
      <alignment vertical="center" wrapText="1"/>
    </xf>
    <xf numFmtId="164" fontId="3" fillId="0" borderId="3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vertical="center"/>
    </xf>
    <xf numFmtId="164" fontId="0" fillId="0" borderId="0" xfId="0" applyNumberFormat="1" applyFill="1">
      <alignment vertical="center"/>
    </xf>
    <xf numFmtId="164" fontId="7" fillId="0" borderId="0" xfId="0" applyNumberFormat="1" applyFont="1" applyFill="1" applyBorder="1">
      <alignment vertical="center"/>
    </xf>
    <xf numFmtId="164" fontId="7" fillId="0" borderId="0" xfId="0" applyNumberFormat="1" applyFont="1" applyFill="1" applyBorder="1" applyAlignment="1">
      <alignment vertical="center"/>
    </xf>
  </cellXfs>
  <cellStyles count="8">
    <cellStyle name="Amount" xfId="7" xr:uid="{00000000-0005-0000-0000-000000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  <cellStyle name="Total" xfId="6" builtinId="25" customBuiltin="1"/>
  </cellStyles>
  <dxfs count="46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/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bottom style="thin">
          <color indexed="64"/>
        </bottom>
        <vertical/>
        <horizontal/>
      </border>
    </dxf>
    <dxf>
      <font>
        <b/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bottom style="thin">
          <color indexed="64"/>
        </bottom>
        <vertical/>
        <horizontal/>
      </border>
    </dxf>
    <dxf>
      <font>
        <b/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bottom style="thin">
          <color indexed="64"/>
        </bottom>
        <vertical/>
        <horizontal/>
      </border>
    </dxf>
    <dxf>
      <font>
        <b/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bottom style="thin">
          <color indexed="64"/>
        </bottom>
        <vertical/>
        <horizontal/>
      </border>
    </dxf>
    <dxf>
      <font>
        <b/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bottom style="thin">
          <color indexed="64"/>
        </bottom>
        <vertical/>
        <horizontal/>
      </border>
    </dxf>
    <dxf>
      <font>
        <b/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bottom style="thin">
          <color indexed="64"/>
        </bottom>
        <vertical/>
        <horizontal/>
      </border>
    </dxf>
    <dxf>
      <font>
        <b/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font>
        <b/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bottom style="thin">
          <color indexed="64"/>
        </bottom>
        <vertical/>
        <horizontal/>
      </border>
    </dxf>
    <dxf>
      <font>
        <b/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bottom style="thin">
          <color indexed="64"/>
        </bottom>
        <vertical/>
        <horizontal/>
      </border>
    </dxf>
    <dxf>
      <font>
        <b/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bottom style="thin">
          <color indexed="64"/>
        </bottom>
        <vertical/>
        <horizontal/>
      </border>
    </dxf>
    <dxf>
      <font>
        <b/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diagonalUp="0" diagonalDown="0">
        <bottom style="thin">
          <color indexed="64"/>
        </bottom>
        <vertical/>
        <horizontal/>
      </border>
    </dxf>
    <dxf>
      <fill>
        <patternFill>
          <bgColor theme="0"/>
        </patternFill>
      </fill>
      <border diagonalUp="0" diagonalDown="0">
        <vertical style="thin">
          <color theme="6" tint="0.59996337778862885"/>
        </vertical>
      </border>
    </dxf>
    <dxf>
      <fill>
        <patternFill>
          <bgColor theme="7" tint="0.79998168889431442"/>
        </patternFill>
      </fill>
      <border diagonalUp="0" diagonalDown="0">
        <vertical style="thin">
          <color theme="6" tint="0.59996337778862885"/>
        </vertical>
      </border>
    </dxf>
    <dxf>
      <font>
        <b val="0"/>
        <i val="0"/>
        <color auto="1"/>
      </font>
      <fill>
        <patternFill>
          <bgColor theme="7" tint="0.39994506668294322"/>
        </patternFill>
      </fill>
      <border>
        <left style="thin">
          <color theme="0"/>
        </left>
        <right style="thin">
          <color theme="0"/>
        </right>
        <top style="medium">
          <color theme="0"/>
        </top>
        <bottom style="thin">
          <color theme="0"/>
        </bottom>
        <vertical style="thin">
          <color theme="0"/>
        </vertical>
      </border>
    </dxf>
    <dxf>
      <font>
        <sz val="10"/>
      </font>
    </dxf>
    <dxf>
      <font>
        <b val="0"/>
        <i val="0"/>
        <color theme="3"/>
      </font>
    </dxf>
  </dxfs>
  <tableStyles count="1" defaultTableStyle="Personal Budget" defaultPivotStyle="PivotStyleLight16">
    <tableStyle name="Personal Budget" pivot="0" count="5" xr9:uid="{00000000-0011-0000-FFFF-FFFF00000000}">
      <tableStyleElement type="wholeTable" dxfId="461"/>
      <tableStyleElement type="headerRow" dxfId="460"/>
      <tableStyleElement type="totalRow" dxfId="459"/>
      <tableStyleElement type="firstRowStripe" dxfId="458"/>
      <tableStyleElement type="secondRowStripe" dxfId="45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5FBFD"/>
      <rgbColor rgb="00CCFFCC"/>
      <rgbColor rgb="00FFFF99"/>
      <rgbColor rgb="00C5E0F3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come" displayName="Income" ref="A6:N9" headerRowCount="0" totalsRowCount="1" headerRowBorderDxfId="456" headerRowCellStyle="Normal" dataCellStyle="Normal" totalsRowCellStyle="Normal">
  <tableColumns count="14">
    <tableColumn id="1" xr3:uid="{00000000-0010-0000-0000-000001000000}" name="Column1" totalsRowLabel="Total" headerRowDxfId="455" dataCellStyle="Heading 4"/>
    <tableColumn id="2" xr3:uid="{00000000-0010-0000-0000-000002000000}" name="Column2" totalsRowFunction="sum" headerRowDxfId="454" totalsRowDxfId="11" dataCellStyle="Amount" totalsRowCellStyle="Amount"/>
    <tableColumn id="3" xr3:uid="{00000000-0010-0000-0000-000003000000}" name="Column3" totalsRowFunction="sum" headerRowDxfId="453" totalsRowDxfId="10" dataCellStyle="Amount" totalsRowCellStyle="Amount"/>
    <tableColumn id="4" xr3:uid="{00000000-0010-0000-0000-000004000000}" name="Column4" totalsRowFunction="sum" headerRowDxfId="452" totalsRowDxfId="9" dataCellStyle="Amount" totalsRowCellStyle="Amount"/>
    <tableColumn id="5" xr3:uid="{00000000-0010-0000-0000-000005000000}" name="Column5" totalsRowFunction="sum" headerRowDxfId="451" totalsRowDxfId="8" dataCellStyle="Amount" totalsRowCellStyle="Amount"/>
    <tableColumn id="6" xr3:uid="{00000000-0010-0000-0000-000006000000}" name="Column6" totalsRowFunction="sum" headerRowDxfId="450" totalsRowDxfId="7" dataCellStyle="Amount" totalsRowCellStyle="Amount"/>
    <tableColumn id="7" xr3:uid="{00000000-0010-0000-0000-000007000000}" name="Column7" totalsRowFunction="sum" headerRowDxfId="449" totalsRowDxfId="6" dataCellStyle="Amount" totalsRowCellStyle="Amount"/>
    <tableColumn id="8" xr3:uid="{00000000-0010-0000-0000-000008000000}" name="Column8" totalsRowFunction="sum" headerRowDxfId="448" totalsRowDxfId="5" dataCellStyle="Amount" totalsRowCellStyle="Amount"/>
    <tableColumn id="9" xr3:uid="{00000000-0010-0000-0000-000009000000}" name="Column9" totalsRowFunction="sum" headerRowDxfId="447" totalsRowDxfId="4" dataCellStyle="Amount" totalsRowCellStyle="Amount"/>
    <tableColumn id="10" xr3:uid="{00000000-0010-0000-0000-00000A000000}" name="Column10" totalsRowFunction="sum" headerRowDxfId="446" totalsRowDxfId="3" dataCellStyle="Amount" totalsRowCellStyle="Amount"/>
    <tableColumn id="11" xr3:uid="{00000000-0010-0000-0000-00000B000000}" name="Column11" totalsRowFunction="sum" headerRowDxfId="445" totalsRowDxfId="2" dataCellStyle="Amount" totalsRowCellStyle="Amount"/>
    <tableColumn id="12" xr3:uid="{00000000-0010-0000-0000-00000C000000}" name="Column12" totalsRowFunction="sum" headerRowDxfId="444" totalsRowDxfId="1" dataCellStyle="Amount" totalsRowCellStyle="Amount"/>
    <tableColumn id="13" xr3:uid="{00000000-0010-0000-0000-00000D000000}" name="Column13" totalsRowFunction="sum" headerRowDxfId="443" totalsRowDxfId="0" dataCellStyle="Amount" totalsRowCellStyle="Amount"/>
    <tableColumn id="15" xr3:uid="{00000000-0010-0000-0000-00000F000000}" name="Column14" totalsRowFunction="sum" headerRowDxfId="442" dataCellStyle="Total" totalsRowCellStyle="Total">
      <calculatedColumnFormula>SUM(Income[[#This Row],[Column2]:[Column13]])</calculatedColumnFormula>
    </tableColumn>
  </tableColumns>
  <tableStyleInfo name="Personal Budget" showFirstColumn="0" showLastColumn="0" showRowStripes="1" showColumnStripes="1"/>
  <extLst>
    <ext xmlns:x14="http://schemas.microsoft.com/office/spreadsheetml/2009/9/main" uri="{504A1905-F514-4f6f-8877-14C23A59335A}">
      <x14:table altTextSummary="This table allows input of various income types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PersonalExpenses" displayName="PersonalExpenses" ref="A49:N52" headerRowCount="0" totalsRowCount="1" headerRowBorderDxfId="232" headerRowCellStyle="Normal" dataCellStyle="Normal" totalsRowCellStyle="Normal">
  <tableColumns count="14">
    <tableColumn id="1" xr3:uid="{00000000-0010-0000-0900-000001000000}" name="Column1" totalsRowLabel="Total" headerRowDxfId="231" dataDxfId="230" totalsRowDxfId="25" dataCellStyle="Normal"/>
    <tableColumn id="2" xr3:uid="{00000000-0010-0000-0900-000002000000}" name="Column2" totalsRowFunction="sum" headerRowDxfId="229" dataDxfId="228" totalsRowDxfId="24" dataCellStyle="Amount"/>
    <tableColumn id="3" xr3:uid="{00000000-0010-0000-0900-000003000000}" name="Column3" totalsRowFunction="sum" headerRowDxfId="227" dataDxfId="226" totalsRowDxfId="23" dataCellStyle="Amount"/>
    <tableColumn id="4" xr3:uid="{00000000-0010-0000-0900-000004000000}" name="Column4" totalsRowFunction="sum" headerRowDxfId="225" dataDxfId="224" totalsRowDxfId="22" dataCellStyle="Amount"/>
    <tableColumn id="5" xr3:uid="{00000000-0010-0000-0900-000005000000}" name="Column5" totalsRowFunction="sum" headerRowDxfId="223" dataDxfId="222" totalsRowDxfId="21" dataCellStyle="Amount"/>
    <tableColumn id="6" xr3:uid="{00000000-0010-0000-0900-000006000000}" name="Column6" totalsRowFunction="sum" headerRowDxfId="221" dataDxfId="220" totalsRowDxfId="20" dataCellStyle="Amount"/>
    <tableColumn id="7" xr3:uid="{00000000-0010-0000-0900-000007000000}" name="Column7" totalsRowFunction="sum" headerRowDxfId="219" dataDxfId="218" totalsRowDxfId="19" dataCellStyle="Amount"/>
    <tableColumn id="8" xr3:uid="{00000000-0010-0000-0900-000008000000}" name="Column8" totalsRowFunction="sum" headerRowDxfId="217" dataDxfId="216" totalsRowDxfId="18" dataCellStyle="Amount"/>
    <tableColumn id="9" xr3:uid="{00000000-0010-0000-0900-000009000000}" name="Column9" totalsRowFunction="sum" headerRowDxfId="215" dataDxfId="214" totalsRowDxfId="17" dataCellStyle="Amount"/>
    <tableColumn id="10" xr3:uid="{00000000-0010-0000-0900-00000A000000}" name="Column10" totalsRowFunction="sum" headerRowDxfId="213" dataDxfId="212" totalsRowDxfId="16" dataCellStyle="Amount"/>
    <tableColumn id="11" xr3:uid="{00000000-0010-0000-0900-00000B000000}" name="Column11" totalsRowFunction="sum" headerRowDxfId="211" dataDxfId="210" totalsRowDxfId="15" dataCellStyle="Amount"/>
    <tableColumn id="12" xr3:uid="{00000000-0010-0000-0900-00000C000000}" name="Column12" totalsRowFunction="sum" headerRowDxfId="209" totalsRowDxfId="14" dataCellStyle="Amount"/>
    <tableColumn id="13" xr3:uid="{00000000-0010-0000-0900-00000D000000}" name="Column13" totalsRowFunction="sum" headerRowDxfId="208" totalsRowDxfId="13" dataCellStyle="Amount"/>
    <tableColumn id="14" xr3:uid="{00000000-0010-0000-0900-00000E000000}" name="Column14" totalsRowFunction="sum" headerRowDxfId="207" totalsRowDxfId="12" dataCellStyle="Total">
      <calculatedColumnFormula>SUM(PersonalExpenses[[#This Row],[Column2]:[Column13]])</calculatedColumnFormula>
    </tableColumn>
  </tableColumns>
  <tableStyleInfo name="Personal Budget" showFirstColumn="0" showLastColumn="0" showRowStripes="1" showColumnStripes="1"/>
  <extLst>
    <ext xmlns:x14="http://schemas.microsoft.com/office/spreadsheetml/2009/9/main" uri="{504A1905-F514-4f6f-8877-14C23A59335A}">
      <x14:table altTextSummary="A table for tracking personal expenses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FinancialExpenses" displayName="FinancialExpenses" ref="A54:N55" headerRowCount="0" totalsRowCount="1" headerRowBorderDxfId="206" headerRowCellStyle="Normal" dataCellStyle="Normal" totalsRowCellStyle="Normal">
  <tableColumns count="14">
    <tableColumn id="1" xr3:uid="{00000000-0010-0000-0A00-000001000000}" name="Column1" totalsRowLabel="Total" headerRowDxfId="205" dataDxfId="204" totalsRowDxfId="203" dataCellStyle="Normal"/>
    <tableColumn id="2" xr3:uid="{00000000-0010-0000-0A00-000002000000}" name="Column2" totalsRowFunction="sum" headerRowDxfId="202" totalsRowDxfId="201" dataCellStyle="Amount"/>
    <tableColumn id="3" xr3:uid="{00000000-0010-0000-0A00-000003000000}" name="Column3" totalsRowFunction="sum" headerRowDxfId="200" totalsRowDxfId="199" dataCellStyle="Amount"/>
    <tableColumn id="4" xr3:uid="{00000000-0010-0000-0A00-000004000000}" name="Column4" totalsRowFunction="sum" headerRowDxfId="198" totalsRowDxfId="197" dataCellStyle="Amount"/>
    <tableColumn id="5" xr3:uid="{00000000-0010-0000-0A00-000005000000}" name="Column5" totalsRowFunction="sum" headerRowDxfId="196" totalsRowDxfId="195" dataCellStyle="Amount"/>
    <tableColumn id="6" xr3:uid="{00000000-0010-0000-0A00-000006000000}" name="Column6" totalsRowFunction="sum" headerRowDxfId="194" totalsRowDxfId="193" dataCellStyle="Amount"/>
    <tableColumn id="7" xr3:uid="{00000000-0010-0000-0A00-000007000000}" name="Column7" totalsRowFunction="sum" headerRowDxfId="192" totalsRowDxfId="191" dataCellStyle="Amount"/>
    <tableColumn id="8" xr3:uid="{00000000-0010-0000-0A00-000008000000}" name="Column8" totalsRowFunction="sum" headerRowDxfId="190" totalsRowDxfId="189" dataCellStyle="Amount"/>
    <tableColumn id="9" xr3:uid="{00000000-0010-0000-0A00-000009000000}" name="Column9" totalsRowFunction="sum" headerRowDxfId="188" totalsRowDxfId="187" dataCellStyle="Amount"/>
    <tableColumn id="10" xr3:uid="{00000000-0010-0000-0A00-00000A000000}" name="Column10" totalsRowFunction="sum" headerRowDxfId="186" totalsRowDxfId="185" dataCellStyle="Amount"/>
    <tableColumn id="11" xr3:uid="{00000000-0010-0000-0A00-00000B000000}" name="Column11" totalsRowFunction="sum" headerRowDxfId="184" totalsRowDxfId="183" dataCellStyle="Amount"/>
    <tableColumn id="12" xr3:uid="{00000000-0010-0000-0A00-00000C000000}" name="Column12" totalsRowFunction="sum" headerRowDxfId="182" totalsRowDxfId="181" dataCellStyle="Amount"/>
    <tableColumn id="13" xr3:uid="{00000000-0010-0000-0A00-00000D000000}" name="Column13" totalsRowFunction="sum" headerRowDxfId="180" totalsRowDxfId="179" dataCellStyle="Amount"/>
    <tableColumn id="14" xr3:uid="{00000000-0010-0000-0A00-00000E000000}" name="Column14" totalsRowFunction="sum" headerRowDxfId="178" dataCellStyle="Total">
      <calculatedColumnFormula>SUM(FinancialExpenses[[#This Row],[Column2]:[Column13]])</calculatedColumnFormula>
    </tableColumn>
  </tableColumns>
  <tableStyleInfo name="Personal Budget" showFirstColumn="0" showLastColumn="0" showRowStripes="1" showColumnStripes="1"/>
  <extLst>
    <ext xmlns:x14="http://schemas.microsoft.com/office/spreadsheetml/2009/9/main" uri="{504A1905-F514-4f6f-8877-14C23A59335A}">
      <x14:table altTextSummary="A table to log financial obligations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MiscExpenses" displayName="MiscExpenses" ref="A57:N59" headerRowCount="0" totalsRowCount="1" headerRowBorderDxfId="177" headerRowCellStyle="Normal" dataCellStyle="Normal" totalsRowCellStyle="Normal">
  <tableColumns count="14">
    <tableColumn id="1" xr3:uid="{00000000-0010-0000-0B00-000001000000}" name="Column1" totalsRowLabel="Total" headerRowDxfId="176" dataDxfId="175" totalsRowDxfId="174" dataCellStyle="Normal"/>
    <tableColumn id="2" xr3:uid="{00000000-0010-0000-0B00-000002000000}" name="Column2" totalsRowFunction="sum" headerRowDxfId="173" totalsRowDxfId="172" dataCellStyle="Amount"/>
    <tableColumn id="3" xr3:uid="{00000000-0010-0000-0B00-000003000000}" name="Column3" totalsRowFunction="sum" headerRowDxfId="171" totalsRowDxfId="170" dataCellStyle="Amount"/>
    <tableColumn id="4" xr3:uid="{00000000-0010-0000-0B00-000004000000}" name="Column4" totalsRowFunction="sum" headerRowDxfId="169" totalsRowDxfId="168" dataCellStyle="Amount"/>
    <tableColumn id="5" xr3:uid="{00000000-0010-0000-0B00-000005000000}" name="Column5" totalsRowFunction="sum" headerRowDxfId="167" totalsRowDxfId="166" dataCellStyle="Amount"/>
    <tableColumn id="6" xr3:uid="{00000000-0010-0000-0B00-000006000000}" name="Column6" totalsRowFunction="sum" headerRowDxfId="165" totalsRowDxfId="164" dataCellStyle="Amount"/>
    <tableColumn id="7" xr3:uid="{00000000-0010-0000-0B00-000007000000}" name="Column7" totalsRowFunction="sum" headerRowDxfId="163" totalsRowDxfId="162" dataCellStyle="Amount"/>
    <tableColumn id="8" xr3:uid="{00000000-0010-0000-0B00-000008000000}" name="Column8" totalsRowFunction="sum" headerRowDxfId="161" totalsRowDxfId="160" dataCellStyle="Amount"/>
    <tableColumn id="9" xr3:uid="{00000000-0010-0000-0B00-000009000000}" name="Column9" totalsRowFunction="sum" headerRowDxfId="159" totalsRowDxfId="158" dataCellStyle="Amount"/>
    <tableColumn id="10" xr3:uid="{00000000-0010-0000-0B00-00000A000000}" name="Column10" totalsRowFunction="sum" headerRowDxfId="157" totalsRowDxfId="156" dataCellStyle="Amount"/>
    <tableColumn id="11" xr3:uid="{00000000-0010-0000-0B00-00000B000000}" name="Column11" totalsRowFunction="sum" headerRowDxfId="155" totalsRowDxfId="154" dataCellStyle="Amount"/>
    <tableColumn id="12" xr3:uid="{00000000-0010-0000-0B00-00000C000000}" name="Column12" totalsRowFunction="sum" headerRowDxfId="153" totalsRowDxfId="152" dataCellStyle="Amount"/>
    <tableColumn id="13" xr3:uid="{00000000-0010-0000-0B00-00000D000000}" name="Column13" totalsRowFunction="sum" headerRowDxfId="151" totalsRowDxfId="150" dataCellStyle="Amount"/>
    <tableColumn id="14" xr3:uid="{00000000-0010-0000-0B00-00000E000000}" name="Column14" totalsRowFunction="sum" headerRowDxfId="149" totalsRowDxfId="148" dataCellStyle="Total">
      <calculatedColumnFormula>SUM(MiscExpenses[[#This Row],[Column2]:[Column13]])</calculatedColumnFormula>
    </tableColumn>
  </tableColumns>
  <tableStyleInfo name="Personal Budget" showFirstColumn="0" showLastColumn="0" showRowStripes="1" showColumnStripes="1"/>
  <extLst>
    <ext xmlns:x14="http://schemas.microsoft.com/office/spreadsheetml/2009/9/main" uri="{504A1905-F514-4f6f-8877-14C23A59335A}">
      <x14:table altTextSummary="A table to track miscellaneous payment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HomeExpenses" displayName="HomeExpenses" ref="A12:N14" headerRowCount="0" totalsRowCount="1">
  <tableColumns count="14">
    <tableColumn id="1" xr3:uid="{00000000-0010-0000-0100-000001000000}" name="Column1" totalsRowLabel="Total" headerRowDxfId="441"/>
    <tableColumn id="2" xr3:uid="{00000000-0010-0000-0100-000002000000}" name="Column2" totalsRowFunction="sum" headerRowDxfId="440" dataDxfId="147" totalsRowDxfId="135" dataCellStyle="Amount"/>
    <tableColumn id="3" xr3:uid="{00000000-0010-0000-0100-000003000000}" name="Column3" totalsRowFunction="sum" headerRowDxfId="439" dataDxfId="146" totalsRowDxfId="134" dataCellStyle="Amount"/>
    <tableColumn id="4" xr3:uid="{00000000-0010-0000-0100-000004000000}" name="Column4" totalsRowFunction="sum" headerRowDxfId="438" dataDxfId="145" totalsRowDxfId="133" dataCellStyle="Amount"/>
    <tableColumn id="5" xr3:uid="{00000000-0010-0000-0100-000005000000}" name="Column5" totalsRowFunction="sum" headerRowDxfId="437" dataDxfId="144" totalsRowDxfId="132" dataCellStyle="Amount"/>
    <tableColumn id="6" xr3:uid="{00000000-0010-0000-0100-000006000000}" name="Column6" totalsRowFunction="sum" headerRowDxfId="436" dataDxfId="143" totalsRowDxfId="131" dataCellStyle="Amount"/>
    <tableColumn id="7" xr3:uid="{00000000-0010-0000-0100-000007000000}" name="Column7" totalsRowFunction="sum" headerRowDxfId="435" dataDxfId="142" totalsRowDxfId="130" dataCellStyle="Amount"/>
    <tableColumn id="8" xr3:uid="{00000000-0010-0000-0100-000008000000}" name="Column8" totalsRowFunction="sum" headerRowDxfId="434" dataDxfId="141" totalsRowDxfId="129" dataCellStyle="Amount"/>
    <tableColumn id="9" xr3:uid="{00000000-0010-0000-0100-000009000000}" name="Column9" totalsRowFunction="sum" headerRowDxfId="433" dataDxfId="140" totalsRowDxfId="128" dataCellStyle="Amount"/>
    <tableColumn id="10" xr3:uid="{00000000-0010-0000-0100-00000A000000}" name="Column10" totalsRowFunction="sum" headerRowDxfId="432" dataDxfId="139" totalsRowDxfId="127" dataCellStyle="Amount"/>
    <tableColumn id="11" xr3:uid="{00000000-0010-0000-0100-00000B000000}" name="Column11" totalsRowFunction="sum" headerRowDxfId="431" dataDxfId="138" totalsRowDxfId="126" dataCellStyle="Amount"/>
    <tableColumn id="12" xr3:uid="{00000000-0010-0000-0100-00000C000000}" name="Column12" totalsRowFunction="sum" headerRowDxfId="430" dataDxfId="137" totalsRowDxfId="125" dataCellStyle="Amount"/>
    <tableColumn id="13" xr3:uid="{00000000-0010-0000-0100-00000D000000}" name="Column13" totalsRowFunction="sum" headerRowDxfId="429" dataDxfId="136" totalsRowDxfId="124" dataCellStyle="Amount"/>
    <tableColumn id="14" xr3:uid="{00000000-0010-0000-0100-00000E000000}" name="Column14" totalsRowFunction="sum" headerRowDxfId="428" totalsRowDxfId="123">
      <calculatedColumnFormula>SUM(HomeExpenses[[#This Row],[Column2]:[Column13]])</calculatedColumnFormula>
    </tableColumn>
  </tableColumns>
  <tableStyleInfo name="Personal Budget" showFirstColumn="0" showLastColumn="0" showRowStripes="1" showColumnStripes="0"/>
  <extLst>
    <ext xmlns:x14="http://schemas.microsoft.com/office/spreadsheetml/2009/9/main" uri="{504A1905-F514-4f6f-8877-14C23A59335A}">
      <x14:table altTextSummary="This table catalogues various home expense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DailyLivingExpenses" displayName="DailyLivingExpenses" ref="A16:N18" headerRowCount="0" totalsRowCount="1" headerRowBorderDxfId="427" headerRowCellStyle="Normal" dataCellStyle="Normal" totalsRowCellStyle="Normal">
  <tableColumns count="14">
    <tableColumn id="1" xr3:uid="{00000000-0010-0000-0200-000001000000}" name="Column1" totalsRowLabel="Total" headerRowDxfId="426" totalsRowDxfId="81" dataCellStyle="Normal"/>
    <tableColumn id="2" xr3:uid="{00000000-0010-0000-0200-000002000000}" name="Column2" totalsRowFunction="sum" headerRowDxfId="425" totalsRowDxfId="80" dataCellStyle="Amount"/>
    <tableColumn id="3" xr3:uid="{00000000-0010-0000-0200-000003000000}" name="Column3" totalsRowFunction="sum" headerRowDxfId="424" dataDxfId="423" totalsRowDxfId="79" dataCellStyle="Amount"/>
    <tableColumn id="4" xr3:uid="{00000000-0010-0000-0200-000004000000}" name="Column4" totalsRowFunction="sum" headerRowDxfId="422" dataDxfId="421" totalsRowDxfId="78" dataCellStyle="Amount"/>
    <tableColumn id="5" xr3:uid="{00000000-0010-0000-0200-000005000000}" name="Column5" totalsRowFunction="sum" headerRowDxfId="420" dataDxfId="419" totalsRowDxfId="77" dataCellStyle="Amount"/>
    <tableColumn id="6" xr3:uid="{00000000-0010-0000-0200-000006000000}" name="Column6" totalsRowFunction="sum" headerRowDxfId="418" dataDxfId="417" totalsRowDxfId="76" dataCellStyle="Amount"/>
    <tableColumn id="7" xr3:uid="{00000000-0010-0000-0200-000007000000}" name="Column7" totalsRowFunction="sum" headerRowDxfId="416" dataDxfId="415" totalsRowDxfId="75" dataCellStyle="Amount"/>
    <tableColumn id="8" xr3:uid="{00000000-0010-0000-0200-000008000000}" name="Column8" totalsRowFunction="sum" headerRowDxfId="414" dataDxfId="413" totalsRowDxfId="74" dataCellStyle="Amount"/>
    <tableColumn id="9" xr3:uid="{00000000-0010-0000-0200-000009000000}" name="Column9" totalsRowFunction="sum" headerRowDxfId="412" dataDxfId="411" totalsRowDxfId="73" dataCellStyle="Amount"/>
    <tableColumn id="10" xr3:uid="{00000000-0010-0000-0200-00000A000000}" name="Column10" totalsRowFunction="sum" headerRowDxfId="410" dataDxfId="409" totalsRowDxfId="72" dataCellStyle="Amount"/>
    <tableColumn id="11" xr3:uid="{00000000-0010-0000-0200-00000B000000}" name="Column11" totalsRowFunction="sum" headerRowDxfId="408" dataDxfId="407" totalsRowDxfId="71" dataCellStyle="Amount"/>
    <tableColumn id="12" xr3:uid="{00000000-0010-0000-0200-00000C000000}" name="Column12" totalsRowFunction="sum" headerRowDxfId="406" dataDxfId="405" totalsRowDxfId="70" dataCellStyle="Amount"/>
    <tableColumn id="13" xr3:uid="{00000000-0010-0000-0200-00000D000000}" name="Column13" totalsRowFunction="sum" headerRowDxfId="404" dataDxfId="403" totalsRowDxfId="69" dataCellStyle="Amount"/>
    <tableColumn id="14" xr3:uid="{00000000-0010-0000-0200-00000E000000}" name="Column14" totalsRowFunction="sum" headerRowDxfId="402" totalsRowDxfId="68" dataCellStyle="Total">
      <calculatedColumnFormula>SUM(DailyLivingExpenses[[#This Row],[Column2]:[Column13]])</calculatedColumnFormula>
    </tableColumn>
  </tableColumns>
  <tableStyleInfo name="Personal Budget" showFirstColumn="0" showLastColumn="0" showRowStripes="1" showColumnStripes="1"/>
  <extLst>
    <ext xmlns:x14="http://schemas.microsoft.com/office/spreadsheetml/2009/9/main" uri="{504A1905-F514-4f6f-8877-14C23A59335A}">
      <x14:table altTextSummary="A table to log daily living expense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ransportationExpenses" displayName="TransportationExpenses" ref="A20:N23" headerRowCount="0" totalsRowCount="1" headerRowBorderDxfId="401" headerRowCellStyle="Normal" dataCellStyle="Normal" totalsRowCellStyle="Normal">
  <tableColumns count="14">
    <tableColumn id="1" xr3:uid="{00000000-0010-0000-0300-000001000000}" name="Column1" totalsRowLabel="Total" headerRowDxfId="400" dataDxfId="399" totalsRowDxfId="67" dataCellStyle="Normal"/>
    <tableColumn id="2" xr3:uid="{00000000-0010-0000-0300-000002000000}" name="Column2" totalsRowFunction="sum" headerRowDxfId="398" dataDxfId="397" totalsRowDxfId="66" dataCellStyle="Amount"/>
    <tableColumn id="3" xr3:uid="{00000000-0010-0000-0300-000003000000}" name="Column3" totalsRowFunction="sum" headerRowDxfId="396" dataDxfId="395" totalsRowDxfId="65" dataCellStyle="Amount"/>
    <tableColumn id="4" xr3:uid="{00000000-0010-0000-0300-000004000000}" name="Column4" totalsRowFunction="sum" headerRowDxfId="394" dataDxfId="393" totalsRowDxfId="64" dataCellStyle="Amount"/>
    <tableColumn id="5" xr3:uid="{00000000-0010-0000-0300-000005000000}" name="Column5" totalsRowFunction="sum" headerRowDxfId="392" dataDxfId="391" totalsRowDxfId="63" dataCellStyle="Amount"/>
    <tableColumn id="6" xr3:uid="{00000000-0010-0000-0300-000006000000}" name="Column6" totalsRowFunction="sum" headerRowDxfId="390" dataDxfId="389" totalsRowDxfId="62" dataCellStyle="Amount"/>
    <tableColumn id="7" xr3:uid="{00000000-0010-0000-0300-000007000000}" name="Column7" totalsRowFunction="sum" headerRowDxfId="388" dataDxfId="387" totalsRowDxfId="61" dataCellStyle="Amount"/>
    <tableColumn id="8" xr3:uid="{00000000-0010-0000-0300-000008000000}" name="Column8" totalsRowFunction="sum" headerRowDxfId="386" dataDxfId="385" totalsRowDxfId="60" dataCellStyle="Amount"/>
    <tableColumn id="9" xr3:uid="{00000000-0010-0000-0300-000009000000}" name="Column9" totalsRowFunction="sum" headerRowDxfId="384" dataDxfId="383" totalsRowDxfId="59" dataCellStyle="Amount"/>
    <tableColumn id="10" xr3:uid="{00000000-0010-0000-0300-00000A000000}" name="Column10" totalsRowFunction="sum" headerRowDxfId="382" dataDxfId="381" totalsRowDxfId="58" dataCellStyle="Amount"/>
    <tableColumn id="11" xr3:uid="{00000000-0010-0000-0300-00000B000000}" name="Column11" totalsRowFunction="sum" headerRowDxfId="380" dataDxfId="379" totalsRowDxfId="57" dataCellStyle="Amount"/>
    <tableColumn id="12" xr3:uid="{00000000-0010-0000-0300-00000C000000}" name="Column12" totalsRowFunction="sum" headerRowDxfId="378" dataDxfId="377" totalsRowDxfId="56" dataCellStyle="Amount"/>
    <tableColumn id="13" xr3:uid="{00000000-0010-0000-0300-00000D000000}" name="Column13" totalsRowFunction="sum" headerRowDxfId="376" dataDxfId="375" totalsRowDxfId="55" dataCellStyle="Amount"/>
    <tableColumn id="14" xr3:uid="{00000000-0010-0000-0300-00000E000000}" name="Column14" totalsRowFunction="sum" headerRowDxfId="374" totalsRowDxfId="54" dataCellStyle="Total">
      <calculatedColumnFormula>SUM(TransportationExpenses[[#This Row],[Column2]:[Column13]])</calculatedColumnFormula>
    </tableColumn>
  </tableColumns>
  <tableStyleInfo name="Personal Budget" showFirstColumn="0" showLastColumn="0" showRowStripes="1" showColumnStripes="1"/>
  <extLst>
    <ext xmlns:x14="http://schemas.microsoft.com/office/spreadsheetml/2009/9/main" uri="{504A1905-F514-4f6f-8877-14C23A59335A}">
      <x14:table altTextSummary="A table that logs expenses related to transportation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EntertainmentExpenses" displayName="EntertainmentExpenses" ref="A25:N27" headerRowCount="0" totalsRowCount="1" headerRowBorderDxfId="373" headerRowCellStyle="Normal" dataCellStyle="Normal" totalsRowCellStyle="Normal">
  <tableColumns count="14">
    <tableColumn id="1" xr3:uid="{00000000-0010-0000-0400-000001000000}" name="Column1" totalsRowLabel="Total" headerRowDxfId="372" dataDxfId="371" totalsRowDxfId="370" dataCellStyle="Normal"/>
    <tableColumn id="2" xr3:uid="{00000000-0010-0000-0400-000002000000}" name="Column2" totalsRowFunction="sum" headerRowDxfId="369" dataDxfId="368" totalsRowDxfId="367" dataCellStyle="Amount"/>
    <tableColumn id="3" xr3:uid="{00000000-0010-0000-0400-000003000000}" name="Column3" totalsRowFunction="sum" headerRowDxfId="366" dataDxfId="365" totalsRowDxfId="364" dataCellStyle="Amount"/>
    <tableColumn id="4" xr3:uid="{00000000-0010-0000-0400-000004000000}" name="Column4" totalsRowFunction="sum" headerRowDxfId="363" dataDxfId="362" totalsRowDxfId="361" dataCellStyle="Amount"/>
    <tableColumn id="5" xr3:uid="{00000000-0010-0000-0400-000005000000}" name="Column5" totalsRowFunction="sum" headerRowDxfId="360" dataDxfId="359" totalsRowDxfId="358" dataCellStyle="Amount"/>
    <tableColumn id="6" xr3:uid="{00000000-0010-0000-0400-000006000000}" name="Column6" totalsRowFunction="sum" headerRowDxfId="357" dataDxfId="356" totalsRowDxfId="355" dataCellStyle="Amount"/>
    <tableColumn id="7" xr3:uid="{00000000-0010-0000-0400-000007000000}" name="Column7" totalsRowFunction="sum" headerRowDxfId="354" dataDxfId="353" totalsRowDxfId="352" dataCellStyle="Amount"/>
    <tableColumn id="8" xr3:uid="{00000000-0010-0000-0400-000008000000}" name="Column8" totalsRowFunction="sum" headerRowDxfId="351" dataDxfId="350" totalsRowDxfId="349" dataCellStyle="Amount"/>
    <tableColumn id="9" xr3:uid="{00000000-0010-0000-0400-000009000000}" name="Column9" totalsRowFunction="sum" headerRowDxfId="348" dataDxfId="347" totalsRowDxfId="346" dataCellStyle="Amount"/>
    <tableColumn id="10" xr3:uid="{00000000-0010-0000-0400-00000A000000}" name="Column10" totalsRowFunction="sum" headerRowDxfId="345" dataDxfId="344" totalsRowDxfId="343" dataCellStyle="Amount"/>
    <tableColumn id="11" xr3:uid="{00000000-0010-0000-0400-00000B000000}" name="Column11" totalsRowFunction="sum" headerRowDxfId="342" dataDxfId="341" totalsRowDxfId="340" dataCellStyle="Amount"/>
    <tableColumn id="12" xr3:uid="{00000000-0010-0000-0400-00000C000000}" name="Column12" totalsRowFunction="sum" headerRowDxfId="339" dataDxfId="338" totalsRowDxfId="337" dataCellStyle="Amount"/>
    <tableColumn id="13" xr3:uid="{00000000-0010-0000-0400-00000D000000}" name="Column13" totalsRowFunction="sum" headerRowDxfId="336" dataDxfId="335" totalsRowDxfId="334" dataCellStyle="Amount"/>
    <tableColumn id="14" xr3:uid="{00000000-0010-0000-0400-00000E000000}" name="Column14" totalsRowFunction="sum" headerRowDxfId="333" totalsRowDxfId="332" dataCellStyle="Total">
      <calculatedColumnFormula>SUM(EntertainmentExpenses[[#This Row],[Column2]:[Column13]])</calculatedColumnFormula>
    </tableColumn>
  </tableColumns>
  <tableStyleInfo name="Personal Budget" showFirstColumn="0" showLastColumn="0" showRowStripes="1" showColumnStripes="1"/>
  <extLst>
    <ext xmlns:x14="http://schemas.microsoft.com/office/spreadsheetml/2009/9/main" uri="{504A1905-F514-4f6f-8877-14C23A59335A}">
      <x14:table altTextSummary="This table logs expenses related to entertainment expenditures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HealthExpenses" displayName="HealthExpenses" ref="A29:N31" headerRowCount="0" totalsRowCount="1" headerRowBorderDxfId="331" headerRowCellStyle="Normal" dataCellStyle="Normal" totalsRowCellStyle="Normal">
  <tableColumns count="14">
    <tableColumn id="1" xr3:uid="{00000000-0010-0000-0500-000001000000}" name="Column1" totalsRowLabel="Total" headerRowDxfId="330" dataDxfId="329" totalsRowDxfId="53" dataCellStyle="Normal"/>
    <tableColumn id="2" xr3:uid="{00000000-0010-0000-0500-000002000000}" name="Column2" totalsRowFunction="sum" headerRowDxfId="328" dataDxfId="327" totalsRowDxfId="52" dataCellStyle="Amount"/>
    <tableColumn id="3" xr3:uid="{00000000-0010-0000-0500-000003000000}" name="Column3" totalsRowFunction="sum" headerRowDxfId="326" dataDxfId="325" totalsRowDxfId="51" dataCellStyle="Amount"/>
    <tableColumn id="4" xr3:uid="{00000000-0010-0000-0500-000004000000}" name="Column4" totalsRowFunction="sum" headerRowDxfId="324" dataDxfId="323" totalsRowDxfId="50" dataCellStyle="Amount"/>
    <tableColumn id="5" xr3:uid="{00000000-0010-0000-0500-000005000000}" name="Column5" totalsRowFunction="sum" headerRowDxfId="322" dataDxfId="321" totalsRowDxfId="49" dataCellStyle="Amount"/>
    <tableColumn id="6" xr3:uid="{00000000-0010-0000-0500-000006000000}" name="Column6" totalsRowFunction="sum" headerRowDxfId="320" dataDxfId="319" totalsRowDxfId="48" dataCellStyle="Amount"/>
    <tableColumn id="7" xr3:uid="{00000000-0010-0000-0500-000007000000}" name="Column7" totalsRowFunction="sum" headerRowDxfId="318" dataDxfId="317" totalsRowDxfId="47" dataCellStyle="Amount"/>
    <tableColumn id="8" xr3:uid="{00000000-0010-0000-0500-000008000000}" name="Column8" totalsRowFunction="sum" headerRowDxfId="316" dataDxfId="315" totalsRowDxfId="46" dataCellStyle="Amount"/>
    <tableColumn id="9" xr3:uid="{00000000-0010-0000-0500-000009000000}" name="Column9" totalsRowFunction="sum" headerRowDxfId="314" dataDxfId="313" totalsRowDxfId="45" dataCellStyle="Amount"/>
    <tableColumn id="10" xr3:uid="{00000000-0010-0000-0500-00000A000000}" name="Column10" totalsRowFunction="sum" headerRowDxfId="312" dataDxfId="311" totalsRowDxfId="44" dataCellStyle="Amount"/>
    <tableColumn id="11" xr3:uid="{00000000-0010-0000-0500-00000B000000}" name="Column11" totalsRowFunction="sum" headerRowDxfId="310" dataDxfId="309" totalsRowDxfId="43" dataCellStyle="Amount"/>
    <tableColumn id="12" xr3:uid="{00000000-0010-0000-0500-00000C000000}" name="Column12" totalsRowFunction="sum" headerRowDxfId="308" dataDxfId="307" totalsRowDxfId="42" dataCellStyle="Amount"/>
    <tableColumn id="13" xr3:uid="{00000000-0010-0000-0500-00000D000000}" name="Column13" totalsRowFunction="sum" headerRowDxfId="306" dataDxfId="305" totalsRowDxfId="41" dataCellStyle="Amount"/>
    <tableColumn id="14" xr3:uid="{00000000-0010-0000-0500-00000E000000}" name="Column14" totalsRowFunction="sum" headerRowDxfId="304" totalsRowDxfId="40" dataCellStyle="Total">
      <calculatedColumnFormula>SUM(HealthExpenses[[#This Row],[Column2]:[Column13]])</calculatedColumnFormula>
    </tableColumn>
  </tableColumns>
  <tableStyleInfo name="Personal Budget" showFirstColumn="0" showLastColumn="0" showRowStripes="1" showColumnStripes="1"/>
  <extLst>
    <ext xmlns:x14="http://schemas.microsoft.com/office/spreadsheetml/2009/9/main" uri="{504A1905-F514-4f6f-8877-14C23A59335A}">
      <x14:table altTextSummary="A table for logging health expenses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VacationExpenses" displayName="VacationExpenses" ref="A33:N37" headerRowCount="0" totalsRowCount="1" headerRowBorderDxfId="303" headerRowCellStyle="Normal" dataCellStyle="Normal" totalsRowCellStyle="Normal">
  <tableColumns count="14">
    <tableColumn id="1" xr3:uid="{00000000-0010-0000-0600-000001000000}" name="Column1" totalsRowLabel="Total" headerRowDxfId="302" dataDxfId="108" totalsRowDxfId="107" dataCellStyle="Normal"/>
    <tableColumn id="2" xr3:uid="{00000000-0010-0000-0600-000002000000}" name="Column2" totalsRowFunction="sum" headerRowDxfId="301" dataDxfId="106" totalsRowDxfId="105" dataCellStyle="Amount"/>
    <tableColumn id="3" xr3:uid="{00000000-0010-0000-0600-000003000000}" name="Column3" totalsRowFunction="sum" headerRowDxfId="300" dataDxfId="104" totalsRowDxfId="103" dataCellStyle="Amount"/>
    <tableColumn id="4" xr3:uid="{00000000-0010-0000-0600-000004000000}" name="Column4" totalsRowFunction="sum" headerRowDxfId="299" dataDxfId="102" totalsRowDxfId="101" dataCellStyle="Amount"/>
    <tableColumn id="5" xr3:uid="{00000000-0010-0000-0600-000005000000}" name="Column5" totalsRowFunction="sum" headerRowDxfId="298" dataDxfId="100" totalsRowDxfId="99" dataCellStyle="Amount"/>
    <tableColumn id="6" xr3:uid="{00000000-0010-0000-0600-000006000000}" name="Column6" totalsRowFunction="sum" headerRowDxfId="297" dataDxfId="98" totalsRowDxfId="97" dataCellStyle="Amount"/>
    <tableColumn id="7" xr3:uid="{00000000-0010-0000-0600-000007000000}" name="Column7" totalsRowFunction="sum" headerRowDxfId="296" dataDxfId="96" totalsRowDxfId="95" dataCellStyle="Amount"/>
    <tableColumn id="8" xr3:uid="{00000000-0010-0000-0600-000008000000}" name="Column8" totalsRowFunction="sum" headerRowDxfId="295" dataDxfId="94" totalsRowDxfId="93" dataCellStyle="Amount"/>
    <tableColumn id="9" xr3:uid="{00000000-0010-0000-0600-000009000000}" name="Column9" totalsRowFunction="sum" headerRowDxfId="294" dataDxfId="92" totalsRowDxfId="91" dataCellStyle="Amount"/>
    <tableColumn id="10" xr3:uid="{00000000-0010-0000-0600-00000A000000}" name="Column10" totalsRowFunction="sum" headerRowDxfId="293" dataDxfId="90" totalsRowDxfId="89" dataCellStyle="Amount"/>
    <tableColumn id="11" xr3:uid="{00000000-0010-0000-0600-00000B000000}" name="Column11" totalsRowFunction="sum" headerRowDxfId="292" dataDxfId="88" totalsRowDxfId="87" dataCellStyle="Amount"/>
    <tableColumn id="12" xr3:uid="{00000000-0010-0000-0600-00000C000000}" name="Column12" totalsRowFunction="sum" headerRowDxfId="291" dataDxfId="86" totalsRowDxfId="85" dataCellStyle="Amount"/>
    <tableColumn id="13" xr3:uid="{00000000-0010-0000-0600-00000D000000}" name="Column13" totalsRowFunction="sum" headerRowDxfId="290" dataDxfId="84" totalsRowDxfId="83" dataCellStyle="Amount"/>
    <tableColumn id="14" xr3:uid="{00000000-0010-0000-0600-00000E000000}" name="Column14" totalsRowFunction="sum" headerRowDxfId="289" totalsRowDxfId="82" dataCellStyle="Total">
      <calculatedColumnFormula>SUM(VacationExpenses[[#This Row],[Column2]:[Column13]])</calculatedColumnFormula>
    </tableColumn>
  </tableColumns>
  <tableStyleInfo name="Personal Budget" showFirstColumn="0" showLastColumn="0" showRowStripes="1" showColumnStripes="1"/>
  <extLst>
    <ext xmlns:x14="http://schemas.microsoft.com/office/spreadsheetml/2009/9/main" uri="{504A1905-F514-4f6f-8877-14C23A59335A}">
      <x14:table altTextSummary="A table to log all vacation expenses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RecreationExpenses" displayName="RecreationExpenses" ref="A39:N41" headerRowCount="0" totalsRowCount="1" headerRowBorderDxfId="288" headerRowCellStyle="Normal" dataCellStyle="Normal" totalsRowCellStyle="Normal">
  <tableColumns count="14">
    <tableColumn id="1" xr3:uid="{00000000-0010-0000-0700-000001000000}" name="Column1" totalsRowLabel="Total" headerRowDxfId="287" dataDxfId="286" totalsRowDxfId="122" dataCellStyle="Normal"/>
    <tableColumn id="2" xr3:uid="{00000000-0010-0000-0700-000002000000}" name="Column2" totalsRowFunction="sum" headerRowDxfId="285" dataDxfId="284" totalsRowDxfId="121" dataCellStyle="Amount"/>
    <tableColumn id="3" xr3:uid="{00000000-0010-0000-0700-000003000000}" name="Column3" totalsRowFunction="sum" headerRowDxfId="283" dataDxfId="282" totalsRowDxfId="120" dataCellStyle="Amount"/>
    <tableColumn id="4" xr3:uid="{00000000-0010-0000-0700-000004000000}" name="Column4" totalsRowFunction="sum" headerRowDxfId="281" dataDxfId="280" totalsRowDxfId="119" dataCellStyle="Amount"/>
    <tableColumn id="5" xr3:uid="{00000000-0010-0000-0700-000005000000}" name="Column5" totalsRowFunction="sum" headerRowDxfId="279" dataDxfId="278" totalsRowDxfId="118" dataCellStyle="Amount"/>
    <tableColumn id="6" xr3:uid="{00000000-0010-0000-0700-000006000000}" name="Column6" totalsRowFunction="sum" headerRowDxfId="277" dataDxfId="276" totalsRowDxfId="117" dataCellStyle="Amount"/>
    <tableColumn id="7" xr3:uid="{00000000-0010-0000-0700-000007000000}" name="Column7" totalsRowFunction="sum" headerRowDxfId="275" dataDxfId="274" totalsRowDxfId="116" dataCellStyle="Amount"/>
    <tableColumn id="8" xr3:uid="{00000000-0010-0000-0700-000008000000}" name="Column8" totalsRowFunction="sum" headerRowDxfId="273" dataDxfId="272" totalsRowDxfId="115" dataCellStyle="Amount"/>
    <tableColumn id="9" xr3:uid="{00000000-0010-0000-0700-000009000000}" name="Column9" totalsRowFunction="sum" headerRowDxfId="271" dataDxfId="270" totalsRowDxfId="114" dataCellStyle="Amount"/>
    <tableColumn id="10" xr3:uid="{00000000-0010-0000-0700-00000A000000}" name="Column10" totalsRowFunction="sum" headerRowDxfId="269" dataDxfId="268" totalsRowDxfId="113" dataCellStyle="Amount"/>
    <tableColumn id="11" xr3:uid="{00000000-0010-0000-0700-00000B000000}" name="Column11" totalsRowFunction="sum" headerRowDxfId="267" dataDxfId="266" totalsRowDxfId="112" dataCellStyle="Amount"/>
    <tableColumn id="12" xr3:uid="{00000000-0010-0000-0700-00000C000000}" name="Column12" totalsRowFunction="sum" headerRowDxfId="265" dataDxfId="264" totalsRowDxfId="111" dataCellStyle="Amount"/>
    <tableColumn id="13" xr3:uid="{00000000-0010-0000-0700-00000D000000}" name="Column13" totalsRowFunction="sum" headerRowDxfId="263" dataDxfId="262" totalsRowDxfId="110" dataCellStyle="Amount"/>
    <tableColumn id="14" xr3:uid="{00000000-0010-0000-0700-00000E000000}" name="Column14" totalsRowFunction="sum" headerRowDxfId="261" totalsRowDxfId="109" dataCellStyle="Total">
      <calculatedColumnFormula>SUM(RecreationExpenses[[#This Row],[Column2]:[Column13]])</calculatedColumnFormula>
    </tableColumn>
  </tableColumns>
  <tableStyleInfo name="Personal Budget" showFirstColumn="0" showLastColumn="0" showRowStripes="1" showColumnStripes="1"/>
  <extLst>
    <ext xmlns:x14="http://schemas.microsoft.com/office/spreadsheetml/2009/9/main" uri="{504A1905-F514-4f6f-8877-14C23A59335A}">
      <x14:table altTextSummary="A table to log recreation expenses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DuesSubscriptionExpenses" displayName="DuesSubscriptionExpenses" ref="A43:N47" headerRowCount="0" totalsRowCount="1" headerRowBorderDxfId="260" headerRowCellStyle="Normal" dataCellStyle="Normal" totalsRowCellStyle="Normal">
  <tableColumns count="14">
    <tableColumn id="1" xr3:uid="{00000000-0010-0000-0800-000001000000}" name="Column1" totalsRowLabel="Total" headerRowDxfId="259" dataDxfId="258" totalsRowDxfId="39" dataCellStyle="Normal"/>
    <tableColumn id="2" xr3:uid="{00000000-0010-0000-0800-000002000000}" name="Column2" totalsRowFunction="sum" headerRowDxfId="257" dataDxfId="256" totalsRowDxfId="38" dataCellStyle="Amount"/>
    <tableColumn id="3" xr3:uid="{00000000-0010-0000-0800-000003000000}" name="Column3" totalsRowFunction="sum" headerRowDxfId="255" dataDxfId="254" totalsRowDxfId="37" dataCellStyle="Amount"/>
    <tableColumn id="4" xr3:uid="{00000000-0010-0000-0800-000004000000}" name="Column4" totalsRowFunction="sum" headerRowDxfId="253" dataDxfId="252" totalsRowDxfId="36" dataCellStyle="Amount"/>
    <tableColumn id="5" xr3:uid="{00000000-0010-0000-0800-000005000000}" name="Column5" totalsRowFunction="sum" headerRowDxfId="251" dataDxfId="250" totalsRowDxfId="35" dataCellStyle="Amount"/>
    <tableColumn id="6" xr3:uid="{00000000-0010-0000-0800-000006000000}" name="Column6" totalsRowFunction="sum" headerRowDxfId="249" dataDxfId="248" totalsRowDxfId="34" dataCellStyle="Amount"/>
    <tableColumn id="7" xr3:uid="{00000000-0010-0000-0800-000007000000}" name="Column7" totalsRowFunction="sum" headerRowDxfId="247" dataDxfId="246" totalsRowDxfId="33" dataCellStyle="Amount"/>
    <tableColumn id="8" xr3:uid="{00000000-0010-0000-0800-000008000000}" name="Column8" totalsRowFunction="sum" headerRowDxfId="245" dataDxfId="244" totalsRowDxfId="32" dataCellStyle="Amount"/>
    <tableColumn id="9" xr3:uid="{00000000-0010-0000-0800-000009000000}" name="Column9" totalsRowFunction="sum" headerRowDxfId="243" dataDxfId="242" totalsRowDxfId="31" dataCellStyle="Amount"/>
    <tableColumn id="10" xr3:uid="{00000000-0010-0000-0800-00000A000000}" name="Column10" totalsRowFunction="sum" headerRowDxfId="241" dataDxfId="240" totalsRowDxfId="30" dataCellStyle="Amount"/>
    <tableColumn id="11" xr3:uid="{00000000-0010-0000-0800-00000B000000}" name="Column11" totalsRowFunction="sum" headerRowDxfId="239" dataDxfId="238" totalsRowDxfId="29" dataCellStyle="Amount"/>
    <tableColumn id="12" xr3:uid="{00000000-0010-0000-0800-00000C000000}" name="Column12" totalsRowFunction="sum" headerRowDxfId="237" dataDxfId="236" totalsRowDxfId="28" dataCellStyle="Amount"/>
    <tableColumn id="13" xr3:uid="{00000000-0010-0000-0800-00000D000000}" name="Column13" totalsRowFunction="sum" headerRowDxfId="235" dataDxfId="234" totalsRowDxfId="27" dataCellStyle="Amount"/>
    <tableColumn id="14" xr3:uid="{00000000-0010-0000-0800-00000E000000}" name="Column14" totalsRowFunction="sum" headerRowDxfId="233" totalsRowDxfId="26" dataCellStyle="Total">
      <calculatedColumnFormula>SUM(DuesSubscriptionExpenses[[#This Row],[Column2]:[Column13]])</calculatedColumnFormula>
    </tableColumn>
  </tableColumns>
  <tableStyleInfo name="Personal Budget" showFirstColumn="0" showLastColumn="0" showRowStripes="1" showColumnStripes="1"/>
  <extLst>
    <ext xmlns:x14="http://schemas.microsoft.com/office/spreadsheetml/2009/9/main" uri="{504A1905-F514-4f6f-8877-14C23A59335A}">
      <x14:table altTextSummary="A table for tracking dues and subscription expenses"/>
    </ext>
  </extLst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E2DC"/>
      </a:hlink>
      <a:folHlink>
        <a:srgbClr val="00918A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0000"/>
                <a:satMod val="150000"/>
              </a:schemeClr>
            </a:gs>
            <a:gs pos="23000">
              <a:schemeClr val="phClr">
                <a:tint val="98000"/>
                <a:shade val="87000"/>
                <a:satMod val="105000"/>
              </a:schemeClr>
            </a:gs>
            <a:gs pos="35000">
              <a:schemeClr val="phClr">
                <a:shade val="70000"/>
              </a:schemeClr>
            </a:gs>
            <a:gs pos="58000">
              <a:schemeClr val="phClr">
                <a:shade val="49000"/>
                <a:satMod val="120000"/>
              </a:schemeClr>
            </a:gs>
            <a:gs pos="80000">
              <a:schemeClr val="phClr">
                <a:shade val="50000"/>
                <a:satMod val="120000"/>
              </a:schemeClr>
            </a:gs>
            <a:gs pos="90000">
              <a:schemeClr val="phClr">
                <a:shade val="57000"/>
                <a:satMod val="130000"/>
              </a:schemeClr>
            </a:gs>
            <a:gs pos="100000">
              <a:schemeClr val="phClr">
                <a:shade val="76000"/>
                <a:satMod val="150000"/>
              </a:schemeClr>
            </a:gs>
          </a:gsLst>
          <a:lin ang="5400000" scaled="1"/>
        </a:gradFill>
      </a:fillStyleLst>
      <a:lnStyleLst>
        <a:ln w="317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12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N59"/>
  <sheetViews>
    <sheetView showGridLines="0" tabSelected="1" workbookViewId="0">
      <pane ySplit="4" topLeftCell="A26" activePane="bottomLeft" state="frozen"/>
      <selection pane="bottomLeft" activeCell="A32" sqref="A32"/>
    </sheetView>
  </sheetViews>
  <sheetFormatPr defaultRowHeight="30" customHeight="1"/>
  <cols>
    <col min="1" max="1" width="22.5703125" style="7" customWidth="1"/>
    <col min="2" max="14" width="12.5703125" customWidth="1"/>
  </cols>
  <sheetData>
    <row r="1" spans="1:14" ht="39.950000000000003" customHeight="1" thickBo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5" customHeight="1" thickBot="1">
      <c r="A2" s="9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30" customHeight="1" thickBot="1">
      <c r="A3" s="6" t="s">
        <v>14</v>
      </c>
      <c r="B3" s="13">
        <f>SUM(B14,B18,B23,B27,B31,B37,B41,B47,B52,B55,B59)</f>
        <v>797.97</v>
      </c>
      <c r="C3" s="13">
        <f>SUM(C14,C18,C23,C27,C31,C37,C41,C47,C52,C55,C59)</f>
        <v>713</v>
      </c>
      <c r="D3" s="13">
        <f>SUM(D14,D18,D23,D27,D31,D37,D41,D47,D52,D55,D59)</f>
        <v>803</v>
      </c>
      <c r="E3" s="13">
        <f>SUM(E14,E18,E23,E27,E31,E37,E41,E47,E52,E55,E59)</f>
        <v>753</v>
      </c>
      <c r="F3" s="13">
        <f>SUM(F14,F18,F23,F27,F31,F37,F41,F47,F52,F55,F59)</f>
        <v>798</v>
      </c>
      <c r="G3" s="13">
        <f>SUM(G14,G18,G23,G27,G31,G37,G41,G47,G52,G55,G59)</f>
        <v>723</v>
      </c>
      <c r="H3" s="13">
        <f>SUM(H14,H18,H23,H27,H31,H37,H41,H47,H52,H55,H59)</f>
        <v>813</v>
      </c>
      <c r="I3" s="13">
        <f>SUM(I14,I18,I23,I27,I31,I37,I41,I47,I52,I55,I59)</f>
        <v>713</v>
      </c>
      <c r="J3" s="13">
        <f>SUM(J14,J18,J23,J27,J31,J37,J41,J47,J52,J55,J59)</f>
        <v>838</v>
      </c>
      <c r="K3" s="13">
        <f>SUM(K14,K18,K23,K27,K31,K37,K41,K47,K52,K55,K59)</f>
        <v>773</v>
      </c>
      <c r="L3" s="13">
        <f>SUM(L14,L18,L23,L27,L31,L37,L41,L47,L52,L55,L59)</f>
        <v>903</v>
      </c>
      <c r="M3" s="13">
        <f>SUM(M14,M18,M23,M27,M31,M37,M41,M47,M52,M55,M59)</f>
        <v>813</v>
      </c>
      <c r="N3" s="2">
        <f>SUM(B3:M3)</f>
        <v>9440.9700000000012</v>
      </c>
    </row>
    <row r="4" spans="1:14" ht="30" customHeight="1" thickBot="1">
      <c r="A4" s="7" t="s">
        <v>15</v>
      </c>
      <c r="B4" s="14">
        <f>SUM(B9-B3)</f>
        <v>166.02999999999997</v>
      </c>
      <c r="C4" s="14">
        <f t="shared" ref="C4:M4" si="0">SUM(C9-C3)</f>
        <v>251</v>
      </c>
      <c r="D4" s="14">
        <f t="shared" si="0"/>
        <v>161</v>
      </c>
      <c r="E4" s="14">
        <f t="shared" si="0"/>
        <v>211</v>
      </c>
      <c r="F4" s="14">
        <f t="shared" si="0"/>
        <v>166</v>
      </c>
      <c r="G4" s="14">
        <f t="shared" si="0"/>
        <v>241</v>
      </c>
      <c r="H4" s="14">
        <f t="shared" si="0"/>
        <v>151</v>
      </c>
      <c r="I4" s="14">
        <f t="shared" si="0"/>
        <v>251</v>
      </c>
      <c r="J4" s="14">
        <f t="shared" si="0"/>
        <v>176</v>
      </c>
      <c r="K4" s="14">
        <f t="shared" si="0"/>
        <v>241</v>
      </c>
      <c r="L4" s="14">
        <f t="shared" si="0"/>
        <v>127</v>
      </c>
      <c r="M4" s="14">
        <f t="shared" si="0"/>
        <v>237</v>
      </c>
      <c r="N4" s="1">
        <f>SUM(B4:M4)</f>
        <v>2379.0299999999997</v>
      </c>
    </row>
    <row r="5" spans="1:14" ht="30" customHeight="1" thickBot="1">
      <c r="A5" s="12" t="s">
        <v>16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30" customHeight="1" thickBot="1">
      <c r="A6" s="7" t="s">
        <v>17</v>
      </c>
      <c r="B6" s="14">
        <v>800</v>
      </c>
      <c r="C6" s="14">
        <v>800</v>
      </c>
      <c r="D6" s="14">
        <v>800</v>
      </c>
      <c r="E6" s="14">
        <v>800</v>
      </c>
      <c r="F6" s="14">
        <v>800</v>
      </c>
      <c r="G6" s="14">
        <v>800</v>
      </c>
      <c r="H6" s="14">
        <v>800</v>
      </c>
      <c r="I6" s="14">
        <v>800</v>
      </c>
      <c r="J6" s="14">
        <v>800</v>
      </c>
      <c r="K6" s="14">
        <v>800</v>
      </c>
      <c r="L6" s="14">
        <v>800</v>
      </c>
      <c r="M6" s="14">
        <v>800</v>
      </c>
      <c r="N6" s="1">
        <f>SUM(Income[[#This Row],[Column2]:[Column13]])</f>
        <v>9600</v>
      </c>
    </row>
    <row r="7" spans="1:14" ht="30" customHeight="1" thickBot="1">
      <c r="A7" s="7" t="s">
        <v>18</v>
      </c>
      <c r="B7" s="14">
        <v>100</v>
      </c>
      <c r="C7" s="14">
        <v>100</v>
      </c>
      <c r="D7" s="14">
        <v>100</v>
      </c>
      <c r="E7" s="14">
        <v>100</v>
      </c>
      <c r="F7" s="14">
        <v>100</v>
      </c>
      <c r="G7" s="14">
        <v>100</v>
      </c>
      <c r="H7" s="14">
        <v>100</v>
      </c>
      <c r="I7" s="14">
        <v>100</v>
      </c>
      <c r="J7" s="14">
        <v>150</v>
      </c>
      <c r="K7" s="14">
        <v>150</v>
      </c>
      <c r="L7" s="14">
        <v>150</v>
      </c>
      <c r="M7" s="14">
        <v>150</v>
      </c>
      <c r="N7" s="1">
        <f>SUM(Income[[#This Row],[Column2]:[Column13]])</f>
        <v>1400</v>
      </c>
    </row>
    <row r="8" spans="1:14" ht="30" customHeight="1" thickBot="1">
      <c r="A8" s="7" t="s">
        <v>19</v>
      </c>
      <c r="B8" s="14">
        <v>64</v>
      </c>
      <c r="C8" s="14">
        <v>64</v>
      </c>
      <c r="D8" s="14">
        <v>64</v>
      </c>
      <c r="E8" s="14">
        <v>64</v>
      </c>
      <c r="F8" s="14">
        <v>64</v>
      </c>
      <c r="G8" s="14">
        <v>64</v>
      </c>
      <c r="H8" s="14">
        <v>64</v>
      </c>
      <c r="I8" s="14">
        <v>64</v>
      </c>
      <c r="J8" s="14">
        <v>64</v>
      </c>
      <c r="K8" s="14">
        <v>64</v>
      </c>
      <c r="L8" s="14">
        <v>80</v>
      </c>
      <c r="M8" s="14">
        <v>100</v>
      </c>
      <c r="N8" s="1">
        <f>SUM(Income[[#This Row],[Column2]:[Column13]])</f>
        <v>820</v>
      </c>
    </row>
    <row r="9" spans="1:14" ht="30" customHeight="1" thickBot="1">
      <c r="A9" t="s">
        <v>20</v>
      </c>
      <c r="B9" s="14">
        <f>SUBTOTAL(109,Income[Column2])</f>
        <v>964</v>
      </c>
      <c r="C9" s="14">
        <f>SUBTOTAL(109,Income[Column3])</f>
        <v>964</v>
      </c>
      <c r="D9" s="14">
        <f>SUBTOTAL(109,Income[Column4])</f>
        <v>964</v>
      </c>
      <c r="E9" s="14">
        <f>SUBTOTAL(109,Income[Column5])</f>
        <v>964</v>
      </c>
      <c r="F9" s="14">
        <f>SUBTOTAL(109,Income[Column6])</f>
        <v>964</v>
      </c>
      <c r="G9" s="14">
        <f>SUBTOTAL(109,Income[Column7])</f>
        <v>964</v>
      </c>
      <c r="H9" s="14">
        <f>SUBTOTAL(109,Income[Column8])</f>
        <v>964</v>
      </c>
      <c r="I9" s="14">
        <f>SUBTOTAL(109,Income[Column9])</f>
        <v>964</v>
      </c>
      <c r="J9" s="14">
        <f>SUBTOTAL(109,Income[Column10])</f>
        <v>1014</v>
      </c>
      <c r="K9" s="14">
        <f>SUBTOTAL(109,Income[Column11])</f>
        <v>1014</v>
      </c>
      <c r="L9" s="14">
        <f>SUBTOTAL(109,Income[Column12])</f>
        <v>1030</v>
      </c>
      <c r="M9" s="14">
        <f>SUBTOTAL(109,Income[Column13])</f>
        <v>1050</v>
      </c>
      <c r="N9" s="1">
        <f>SUBTOTAL(109,Income[Column14])</f>
        <v>11820</v>
      </c>
    </row>
    <row r="10" spans="1:14" ht="30" customHeight="1" thickBot="1">
      <c r="A10" s="12" t="s">
        <v>21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30" customHeight="1" thickBot="1">
      <c r="A11" s="10" t="s">
        <v>22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30" customHeight="1" thickBot="1">
      <c r="A12" s="8" t="s">
        <v>23</v>
      </c>
      <c r="B12" s="14" t="s">
        <v>24</v>
      </c>
      <c r="C12" s="14" t="s">
        <v>24</v>
      </c>
      <c r="D12" s="14" t="s">
        <v>24</v>
      </c>
      <c r="E12" s="14" t="s">
        <v>24</v>
      </c>
      <c r="F12" s="14" t="s">
        <v>24</v>
      </c>
      <c r="G12" s="14" t="s">
        <v>24</v>
      </c>
      <c r="H12" s="14" t="s">
        <v>24</v>
      </c>
      <c r="I12" s="14" t="s">
        <v>24</v>
      </c>
      <c r="J12" s="14" t="s">
        <v>24</v>
      </c>
      <c r="K12" s="14" t="s">
        <v>24</v>
      </c>
      <c r="L12" s="14" t="s">
        <v>24</v>
      </c>
      <c r="M12" s="14" t="s">
        <v>24</v>
      </c>
      <c r="N12" s="3">
        <f>SUM(HomeExpenses[[#This Row],[Column2]:[Column13]])</f>
        <v>0</v>
      </c>
    </row>
    <row r="13" spans="1:14" ht="30" customHeight="1">
      <c r="A13" s="8" t="s">
        <v>25</v>
      </c>
      <c r="B13" s="15">
        <v>30</v>
      </c>
      <c r="C13" s="15">
        <v>30</v>
      </c>
      <c r="D13" s="15">
        <v>30</v>
      </c>
      <c r="E13" s="15">
        <v>30</v>
      </c>
      <c r="F13" s="15">
        <v>30</v>
      </c>
      <c r="G13" s="15">
        <v>30</v>
      </c>
      <c r="H13" s="15">
        <v>30</v>
      </c>
      <c r="I13" s="15">
        <v>30</v>
      </c>
      <c r="J13" s="15">
        <v>30</v>
      </c>
      <c r="K13" s="15">
        <v>30</v>
      </c>
      <c r="L13" s="15">
        <v>30</v>
      </c>
      <c r="M13" s="15">
        <v>30</v>
      </c>
      <c r="N13" s="3">
        <f>SUM(HomeExpenses[[#This Row],[Column2]:[Column13]])</f>
        <v>360</v>
      </c>
    </row>
    <row r="14" spans="1:14" ht="30" customHeight="1" thickBot="1">
      <c r="A14" t="s">
        <v>20</v>
      </c>
      <c r="B14" s="20">
        <f>SUBTOTAL(109,HomeExpenses[Column2])</f>
        <v>30</v>
      </c>
      <c r="C14" s="20">
        <f>SUBTOTAL(109,HomeExpenses[Column3])</f>
        <v>30</v>
      </c>
      <c r="D14" s="20">
        <f>SUBTOTAL(109,HomeExpenses[Column4])</f>
        <v>30</v>
      </c>
      <c r="E14" s="20">
        <f>SUBTOTAL(109,HomeExpenses[Column5])</f>
        <v>30</v>
      </c>
      <c r="F14" s="20">
        <f>SUBTOTAL(109,HomeExpenses[Column6])</f>
        <v>30</v>
      </c>
      <c r="G14" s="20">
        <f>SUBTOTAL(109,HomeExpenses[Column7])</f>
        <v>30</v>
      </c>
      <c r="H14" s="20">
        <f>SUBTOTAL(109,HomeExpenses[Column8])</f>
        <v>30</v>
      </c>
      <c r="I14" s="20">
        <f>SUBTOTAL(109,HomeExpenses[Column9])</f>
        <v>30</v>
      </c>
      <c r="J14" s="20">
        <f>SUBTOTAL(109,HomeExpenses[Column10])</f>
        <v>30</v>
      </c>
      <c r="K14" s="20">
        <f>SUBTOTAL(109,HomeExpenses[Column11])</f>
        <v>30</v>
      </c>
      <c r="L14" s="20">
        <f>SUBTOTAL(109,HomeExpenses[Column12])</f>
        <v>30</v>
      </c>
      <c r="M14" s="20">
        <f>SUBTOTAL(109,HomeExpenses[Column13])</f>
        <v>30</v>
      </c>
      <c r="N14" s="21">
        <f>SUBTOTAL(109,HomeExpenses[Column14])</f>
        <v>360</v>
      </c>
    </row>
    <row r="15" spans="1:14" ht="30" customHeight="1" thickBot="1">
      <c r="A15" s="10" t="s">
        <v>26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0" customHeight="1" thickBot="1">
      <c r="A16" s="7" t="s">
        <v>27</v>
      </c>
      <c r="B16" s="14">
        <v>100</v>
      </c>
      <c r="C16" s="14">
        <v>100</v>
      </c>
      <c r="D16" s="14">
        <v>100</v>
      </c>
      <c r="E16" s="14">
        <v>100</v>
      </c>
      <c r="F16" s="14">
        <v>100</v>
      </c>
      <c r="G16" s="14">
        <v>100</v>
      </c>
      <c r="H16" s="14">
        <v>100</v>
      </c>
      <c r="I16" s="14">
        <v>100</v>
      </c>
      <c r="J16" s="14">
        <v>100</v>
      </c>
      <c r="K16" s="14">
        <v>100</v>
      </c>
      <c r="L16" s="14">
        <v>100</v>
      </c>
      <c r="M16" s="14">
        <v>100</v>
      </c>
      <c r="N16" s="1">
        <f>SUM(DailyLivingExpenses[[#This Row],[Column2]:[Column13]])</f>
        <v>1200</v>
      </c>
    </row>
    <row r="17" spans="1:14" ht="30" customHeight="1" thickBot="1">
      <c r="A17" s="7" t="s">
        <v>28</v>
      </c>
      <c r="B17" s="14">
        <v>120</v>
      </c>
      <c r="C17" s="14">
        <v>120</v>
      </c>
      <c r="D17" s="14">
        <v>120</v>
      </c>
      <c r="E17" s="14">
        <v>120</v>
      </c>
      <c r="F17" s="14">
        <v>120</v>
      </c>
      <c r="G17" s="14">
        <v>120</v>
      </c>
      <c r="H17" s="14">
        <v>120</v>
      </c>
      <c r="I17" s="14">
        <v>120</v>
      </c>
      <c r="J17" s="14">
        <v>120</v>
      </c>
      <c r="K17" s="14">
        <v>120</v>
      </c>
      <c r="L17" s="14">
        <v>120</v>
      </c>
      <c r="M17" s="14">
        <v>120</v>
      </c>
      <c r="N17" s="1">
        <f>SUM(DailyLivingExpenses[[#This Row],[Column2]:[Column13]])</f>
        <v>1440</v>
      </c>
    </row>
    <row r="18" spans="1:14" ht="30" customHeight="1" thickBot="1">
      <c r="A18" s="7" t="s">
        <v>20</v>
      </c>
      <c r="B18" s="18">
        <f>SUBTOTAL(109,DailyLivingExpenses[Column2])</f>
        <v>220</v>
      </c>
      <c r="C18" s="18">
        <f>SUBTOTAL(109,DailyLivingExpenses[Column3])</f>
        <v>220</v>
      </c>
      <c r="D18" s="18">
        <f>SUBTOTAL(109,DailyLivingExpenses[Column4])</f>
        <v>220</v>
      </c>
      <c r="E18" s="18">
        <f>SUBTOTAL(109,DailyLivingExpenses[Column5])</f>
        <v>220</v>
      </c>
      <c r="F18" s="18">
        <f>SUBTOTAL(109,DailyLivingExpenses[Column6])</f>
        <v>220</v>
      </c>
      <c r="G18" s="18">
        <f>SUBTOTAL(109,DailyLivingExpenses[Column7])</f>
        <v>220</v>
      </c>
      <c r="H18" s="18">
        <f>SUBTOTAL(109,DailyLivingExpenses[Column8])</f>
        <v>220</v>
      </c>
      <c r="I18" s="18">
        <f>SUBTOTAL(109,DailyLivingExpenses[Column9])</f>
        <v>220</v>
      </c>
      <c r="J18" s="18">
        <f>SUBTOTAL(109,DailyLivingExpenses[Column10])</f>
        <v>220</v>
      </c>
      <c r="K18" s="18">
        <f>SUBTOTAL(109,DailyLivingExpenses[Column11])</f>
        <v>220</v>
      </c>
      <c r="L18" s="18">
        <f>SUBTOTAL(109,DailyLivingExpenses[Column12])</f>
        <v>220</v>
      </c>
      <c r="M18" s="18">
        <f>SUBTOTAL(109,DailyLivingExpenses[Column13])</f>
        <v>220</v>
      </c>
      <c r="N18" s="18">
        <f>SUBTOTAL(109,DailyLivingExpenses[Column14])</f>
        <v>2640</v>
      </c>
    </row>
    <row r="19" spans="1:14" ht="30" customHeight="1" thickBot="1">
      <c r="A19" s="10" t="s">
        <v>29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30" customHeight="1" thickBot="1">
      <c r="A20" s="7" t="s">
        <v>30</v>
      </c>
      <c r="B20" s="14">
        <v>20</v>
      </c>
      <c r="C20" s="14">
        <v>20</v>
      </c>
      <c r="D20" s="14">
        <v>20</v>
      </c>
      <c r="E20" s="14">
        <v>20</v>
      </c>
      <c r="F20" s="14">
        <v>20</v>
      </c>
      <c r="G20" s="14">
        <v>20</v>
      </c>
      <c r="H20" s="14">
        <v>20</v>
      </c>
      <c r="I20" s="14">
        <v>20</v>
      </c>
      <c r="J20" s="14">
        <v>20</v>
      </c>
      <c r="K20" s="14">
        <v>20</v>
      </c>
      <c r="L20" s="14">
        <v>20</v>
      </c>
      <c r="M20" s="14">
        <v>20</v>
      </c>
      <c r="N20" s="1">
        <f>SUM(TransportationExpenses[[#This Row],[Column2]:[Column13]])</f>
        <v>240</v>
      </c>
    </row>
    <row r="21" spans="1:14" ht="30" customHeight="1" thickBot="1">
      <c r="A21" s="7" t="s">
        <v>31</v>
      </c>
      <c r="B21" s="14">
        <v>40</v>
      </c>
      <c r="C21" s="14">
        <v>40</v>
      </c>
      <c r="D21" s="14">
        <v>40</v>
      </c>
      <c r="E21" s="14">
        <v>40</v>
      </c>
      <c r="F21" s="14">
        <v>40</v>
      </c>
      <c r="G21" s="14">
        <v>40</v>
      </c>
      <c r="H21" s="14">
        <v>40</v>
      </c>
      <c r="I21" s="14">
        <v>40</v>
      </c>
      <c r="J21" s="14">
        <v>40</v>
      </c>
      <c r="K21" s="14">
        <v>40</v>
      </c>
      <c r="L21" s="14">
        <v>40</v>
      </c>
      <c r="M21" s="14">
        <v>40</v>
      </c>
      <c r="N21" s="1">
        <f>SUM(TransportationExpenses[[#This Row],[Column2]:[Column13]])</f>
        <v>480</v>
      </c>
    </row>
    <row r="22" spans="1:14" ht="30" customHeight="1" thickBot="1">
      <c r="A22" s="7" t="s">
        <v>32</v>
      </c>
      <c r="B22" s="14">
        <v>75</v>
      </c>
      <c r="C22" s="14">
        <v>75</v>
      </c>
      <c r="D22" s="14">
        <v>75</v>
      </c>
      <c r="E22" s="14">
        <v>75</v>
      </c>
      <c r="F22" s="14">
        <v>75</v>
      </c>
      <c r="G22" s="14">
        <v>75</v>
      </c>
      <c r="H22" s="14">
        <v>75</v>
      </c>
      <c r="I22" s="14">
        <v>75</v>
      </c>
      <c r="J22" s="14">
        <v>75</v>
      </c>
      <c r="K22" s="14">
        <v>75</v>
      </c>
      <c r="L22" s="14">
        <v>75</v>
      </c>
      <c r="M22" s="14">
        <v>75</v>
      </c>
      <c r="N22" s="1">
        <f>SUM(TransportationExpenses[[#This Row],[Column2]:[Column13]])</f>
        <v>900</v>
      </c>
    </row>
    <row r="23" spans="1:14" ht="30" customHeight="1" thickBot="1">
      <c r="A23" s="7" t="s">
        <v>20</v>
      </c>
      <c r="B23" s="19">
        <f>SUBTOTAL(109,TransportationExpenses[Column2])</f>
        <v>135</v>
      </c>
      <c r="C23" s="19">
        <f>SUBTOTAL(109,TransportationExpenses[Column3])</f>
        <v>135</v>
      </c>
      <c r="D23" s="19">
        <f>SUBTOTAL(109,TransportationExpenses[Column4])</f>
        <v>135</v>
      </c>
      <c r="E23" s="19">
        <f>SUBTOTAL(109,TransportationExpenses[Column5])</f>
        <v>135</v>
      </c>
      <c r="F23" s="19">
        <f>SUBTOTAL(109,TransportationExpenses[Column6])</f>
        <v>135</v>
      </c>
      <c r="G23" s="19">
        <f>SUBTOTAL(109,TransportationExpenses[Column7])</f>
        <v>135</v>
      </c>
      <c r="H23" s="19">
        <f>SUBTOTAL(109,TransportationExpenses[Column8])</f>
        <v>135</v>
      </c>
      <c r="I23" s="19">
        <f>SUBTOTAL(109,TransportationExpenses[Column9])</f>
        <v>135</v>
      </c>
      <c r="J23" s="19">
        <f>SUBTOTAL(109,TransportationExpenses[Column10])</f>
        <v>135</v>
      </c>
      <c r="K23" s="19">
        <f>SUBTOTAL(109,TransportationExpenses[Column11])</f>
        <v>135</v>
      </c>
      <c r="L23" s="19">
        <f>SUBTOTAL(109,TransportationExpenses[Column12])</f>
        <v>135</v>
      </c>
      <c r="M23" s="19">
        <f>SUBTOTAL(109,TransportationExpenses[Column13])</f>
        <v>135</v>
      </c>
      <c r="N23" s="18">
        <f>SUBTOTAL(109,TransportationExpenses[Column14])</f>
        <v>1620</v>
      </c>
    </row>
    <row r="24" spans="1:14" ht="30" customHeight="1" thickBot="1">
      <c r="A24" s="10" t="s">
        <v>33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30" customHeight="1" thickBot="1">
      <c r="A25" s="7" t="s">
        <v>34</v>
      </c>
      <c r="B25" s="14">
        <v>35</v>
      </c>
      <c r="C25" s="14">
        <v>35</v>
      </c>
      <c r="D25" s="14">
        <v>35</v>
      </c>
      <c r="E25" s="14">
        <v>35</v>
      </c>
      <c r="F25" s="14">
        <v>35</v>
      </c>
      <c r="G25" s="14">
        <v>35</v>
      </c>
      <c r="H25" s="14">
        <v>35</v>
      </c>
      <c r="I25" s="14">
        <v>35</v>
      </c>
      <c r="J25" s="14">
        <v>35</v>
      </c>
      <c r="K25" s="14">
        <v>35</v>
      </c>
      <c r="L25" s="14">
        <v>35</v>
      </c>
      <c r="M25" s="14">
        <v>35</v>
      </c>
      <c r="N25" s="1">
        <f>SUM(EntertainmentExpenses[[#This Row],[Column2]:[Column13]])</f>
        <v>420</v>
      </c>
    </row>
    <row r="26" spans="1:14" ht="30" customHeight="1" thickBot="1">
      <c r="A26" s="7" t="s">
        <v>35</v>
      </c>
      <c r="B26" s="14">
        <v>45</v>
      </c>
      <c r="C26" s="14">
        <v>45</v>
      </c>
      <c r="D26" s="14">
        <v>45</v>
      </c>
      <c r="E26" s="14">
        <v>45</v>
      </c>
      <c r="F26" s="14">
        <v>45</v>
      </c>
      <c r="G26" s="14">
        <v>45</v>
      </c>
      <c r="H26" s="14">
        <v>45</v>
      </c>
      <c r="I26" s="14">
        <v>45</v>
      </c>
      <c r="J26" s="14">
        <v>45</v>
      </c>
      <c r="K26" s="14">
        <v>45</v>
      </c>
      <c r="L26" s="14">
        <v>45</v>
      </c>
      <c r="M26" s="14">
        <v>45</v>
      </c>
      <c r="N26" s="1">
        <f>SUM(EntertainmentExpenses[[#This Row],[Column2]:[Column13]])</f>
        <v>540</v>
      </c>
    </row>
    <row r="27" spans="1:14" ht="30" customHeight="1" thickBot="1">
      <c r="A27" s="7" t="s">
        <v>20</v>
      </c>
      <c r="B27" s="19">
        <f>SUBTOTAL(109,EntertainmentExpenses[Column2])</f>
        <v>80</v>
      </c>
      <c r="C27" s="19">
        <f>SUBTOTAL(109,EntertainmentExpenses[Column3])</f>
        <v>80</v>
      </c>
      <c r="D27" s="19">
        <f>SUBTOTAL(109,EntertainmentExpenses[Column4])</f>
        <v>80</v>
      </c>
      <c r="E27" s="19">
        <f>SUBTOTAL(109,EntertainmentExpenses[Column5])</f>
        <v>80</v>
      </c>
      <c r="F27" s="19">
        <f>SUBTOTAL(109,EntertainmentExpenses[Column6])</f>
        <v>80</v>
      </c>
      <c r="G27" s="19">
        <f>SUBTOTAL(109,EntertainmentExpenses[Column7])</f>
        <v>80</v>
      </c>
      <c r="H27" s="19">
        <f>SUBTOTAL(109,EntertainmentExpenses[Column8])</f>
        <v>80</v>
      </c>
      <c r="I27" s="19">
        <f>SUBTOTAL(109,EntertainmentExpenses[Column9])</f>
        <v>80</v>
      </c>
      <c r="J27" s="19">
        <f>SUBTOTAL(109,EntertainmentExpenses[Column10])</f>
        <v>80</v>
      </c>
      <c r="K27" s="19">
        <f>SUBTOTAL(109,EntertainmentExpenses[Column11])</f>
        <v>80</v>
      </c>
      <c r="L27" s="19">
        <f>SUBTOTAL(109,EntertainmentExpenses[Column12])</f>
        <v>80</v>
      </c>
      <c r="M27" s="19">
        <f>SUBTOTAL(109,EntertainmentExpenses[Column13])</f>
        <v>80</v>
      </c>
      <c r="N27" s="18">
        <f>SUBTOTAL(109,EntertainmentExpenses[Column14])</f>
        <v>960</v>
      </c>
    </row>
    <row r="28" spans="1:14" ht="30" customHeight="1" thickBot="1">
      <c r="A28" s="10" t="s">
        <v>36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30" customHeight="1" thickBot="1">
      <c r="A29" s="7" t="s">
        <v>37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14">
        <v>3</v>
      </c>
      <c r="H29" s="14">
        <v>3</v>
      </c>
      <c r="I29" s="14">
        <v>3</v>
      </c>
      <c r="J29" s="14">
        <v>3</v>
      </c>
      <c r="K29" s="14">
        <v>3</v>
      </c>
      <c r="L29" s="14">
        <v>3</v>
      </c>
      <c r="M29" s="14">
        <v>3</v>
      </c>
      <c r="N29" s="1">
        <f>SUM(HealthExpenses[[#This Row],[Column2]:[Column13]])</f>
        <v>36</v>
      </c>
    </row>
    <row r="30" spans="1:14" ht="30" customHeight="1" thickBot="1">
      <c r="A30" s="7" t="s">
        <v>38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">
        <f>SUM(HealthExpenses[[#This Row],[Column2]:[Column13]])</f>
        <v>0</v>
      </c>
    </row>
    <row r="31" spans="1:14" ht="30" customHeight="1" thickBot="1">
      <c r="A31" s="7" t="s">
        <v>20</v>
      </c>
      <c r="B31" s="19">
        <f>SUBTOTAL(109,HealthExpenses[Column2])</f>
        <v>3</v>
      </c>
      <c r="C31" s="19">
        <f>SUBTOTAL(109,HealthExpenses[Column3])</f>
        <v>3</v>
      </c>
      <c r="D31" s="19">
        <f>SUBTOTAL(109,HealthExpenses[Column4])</f>
        <v>3</v>
      </c>
      <c r="E31" s="19">
        <f>SUBTOTAL(109,HealthExpenses[Column5])</f>
        <v>3</v>
      </c>
      <c r="F31" s="19">
        <f>SUBTOTAL(109,HealthExpenses[Column6])</f>
        <v>3</v>
      </c>
      <c r="G31" s="19">
        <f>SUBTOTAL(109,HealthExpenses[Column7])</f>
        <v>3</v>
      </c>
      <c r="H31" s="19">
        <f>SUBTOTAL(109,HealthExpenses[Column8])</f>
        <v>3</v>
      </c>
      <c r="I31" s="19">
        <f>SUBTOTAL(109,HealthExpenses[Column9])</f>
        <v>3</v>
      </c>
      <c r="J31" s="19">
        <f>SUBTOTAL(109,HealthExpenses[Column10])</f>
        <v>3</v>
      </c>
      <c r="K31" s="19">
        <f>SUBTOTAL(109,HealthExpenses[Column11])</f>
        <v>3</v>
      </c>
      <c r="L31" s="19">
        <f>SUBTOTAL(109,HealthExpenses[Column12])</f>
        <v>3</v>
      </c>
      <c r="M31" s="19">
        <f>SUBTOTAL(109,HealthExpenses[Column13])</f>
        <v>3</v>
      </c>
      <c r="N31" s="18">
        <f>SUBTOTAL(109,HealthExpenses[Column14])</f>
        <v>36</v>
      </c>
    </row>
    <row r="32" spans="1:14" ht="30" customHeight="1" thickBot="1">
      <c r="A32" s="10" t="s">
        <v>39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30" customHeight="1" thickBot="1">
      <c r="A33" s="7" t="s">
        <v>40</v>
      </c>
      <c r="B33" s="14" t="s">
        <v>24</v>
      </c>
      <c r="C33" s="14" t="s">
        <v>24</v>
      </c>
      <c r="D33" s="14" t="s">
        <v>24</v>
      </c>
      <c r="E33" s="14" t="s">
        <v>24</v>
      </c>
      <c r="F33" s="14" t="s">
        <v>24</v>
      </c>
      <c r="G33" s="14" t="s">
        <v>24</v>
      </c>
      <c r="H33" s="14" t="s">
        <v>24</v>
      </c>
      <c r="I33" s="14" t="s">
        <v>24</v>
      </c>
      <c r="J33" s="14" t="s">
        <v>24</v>
      </c>
      <c r="K33" s="14" t="s">
        <v>24</v>
      </c>
      <c r="L33" s="14" t="s">
        <v>24</v>
      </c>
      <c r="M33" s="14" t="s">
        <v>24</v>
      </c>
      <c r="N33" s="1">
        <f>SUM(VacationExpenses[[#This Row],[Column2]:[Column13]])</f>
        <v>0</v>
      </c>
    </row>
    <row r="34" spans="1:14" ht="30" customHeight="1" thickBot="1">
      <c r="A34" s="7" t="s">
        <v>41</v>
      </c>
      <c r="B34" s="14" t="s">
        <v>24</v>
      </c>
      <c r="C34" s="14" t="s">
        <v>24</v>
      </c>
      <c r="D34" s="14" t="s">
        <v>24</v>
      </c>
      <c r="E34" s="14" t="s">
        <v>24</v>
      </c>
      <c r="F34" s="14" t="s">
        <v>24</v>
      </c>
      <c r="G34" s="14" t="s">
        <v>24</v>
      </c>
      <c r="H34" s="14" t="s">
        <v>24</v>
      </c>
      <c r="I34" s="14" t="s">
        <v>24</v>
      </c>
      <c r="J34" s="14" t="s">
        <v>24</v>
      </c>
      <c r="K34" s="14" t="s">
        <v>24</v>
      </c>
      <c r="L34" s="14" t="s">
        <v>24</v>
      </c>
      <c r="M34" s="14" t="s">
        <v>24</v>
      </c>
      <c r="N34" s="1">
        <f>SUM(VacationExpenses[[#This Row],[Column2]:[Column13]])</f>
        <v>0</v>
      </c>
    </row>
    <row r="35" spans="1:14" ht="30" customHeight="1" thickBot="1">
      <c r="A35" s="7" t="s">
        <v>42</v>
      </c>
      <c r="B35" s="14" t="s">
        <v>24</v>
      </c>
      <c r="C35" s="14" t="s">
        <v>24</v>
      </c>
      <c r="D35" s="14" t="s">
        <v>24</v>
      </c>
      <c r="E35" s="14" t="s">
        <v>24</v>
      </c>
      <c r="F35" s="14" t="s">
        <v>24</v>
      </c>
      <c r="G35" s="14" t="s">
        <v>24</v>
      </c>
      <c r="H35" s="14" t="s">
        <v>24</v>
      </c>
      <c r="I35" s="14" t="s">
        <v>24</v>
      </c>
      <c r="J35" s="14" t="s">
        <v>24</v>
      </c>
      <c r="K35" s="14" t="s">
        <v>24</v>
      </c>
      <c r="L35" s="14" t="s">
        <v>24</v>
      </c>
      <c r="M35" s="14" t="s">
        <v>24</v>
      </c>
      <c r="N35" s="1">
        <f>SUM(VacationExpenses[[#This Row],[Column2]:[Column13]])</f>
        <v>0</v>
      </c>
    </row>
    <row r="36" spans="1:14" ht="30" customHeight="1" thickBot="1">
      <c r="A36" s="7" t="s">
        <v>43</v>
      </c>
      <c r="B36" s="14" t="s">
        <v>24</v>
      </c>
      <c r="C36" s="14" t="s">
        <v>24</v>
      </c>
      <c r="D36" s="14" t="s">
        <v>24</v>
      </c>
      <c r="E36" s="14" t="s">
        <v>24</v>
      </c>
      <c r="F36" s="14" t="s">
        <v>24</v>
      </c>
      <c r="G36" s="14" t="s">
        <v>24</v>
      </c>
      <c r="H36" s="14" t="s">
        <v>24</v>
      </c>
      <c r="I36" s="14" t="s">
        <v>24</v>
      </c>
      <c r="J36" s="14" t="s">
        <v>24</v>
      </c>
      <c r="K36" s="14" t="s">
        <v>24</v>
      </c>
      <c r="L36" s="14" t="s">
        <v>24</v>
      </c>
      <c r="M36" s="14" t="s">
        <v>24</v>
      </c>
      <c r="N36" s="1">
        <f>SUM(VacationExpenses[[#This Row],[Column2]:[Column13]])</f>
        <v>0</v>
      </c>
    </row>
    <row r="37" spans="1:14" ht="30" customHeight="1" thickBot="1">
      <c r="A37" s="7" t="s">
        <v>20</v>
      </c>
      <c r="B37" s="19">
        <f>SUBTOTAL(109,VacationExpenses[Column2])</f>
        <v>0</v>
      </c>
      <c r="C37" s="19">
        <f>SUBTOTAL(109,VacationExpenses[Column3])</f>
        <v>0</v>
      </c>
      <c r="D37" s="19">
        <f>SUBTOTAL(109,VacationExpenses[Column4])</f>
        <v>0</v>
      </c>
      <c r="E37" s="19">
        <f>SUBTOTAL(109,VacationExpenses[Column5])</f>
        <v>0</v>
      </c>
      <c r="F37" s="19">
        <f>SUBTOTAL(109,VacationExpenses[Column6])</f>
        <v>0</v>
      </c>
      <c r="G37" s="19">
        <f>SUBTOTAL(109,VacationExpenses[Column7])</f>
        <v>0</v>
      </c>
      <c r="H37" s="19">
        <f>SUBTOTAL(109,VacationExpenses[Column8])</f>
        <v>0</v>
      </c>
      <c r="I37" s="19">
        <f>SUBTOTAL(109,VacationExpenses[Column9])</f>
        <v>0</v>
      </c>
      <c r="J37" s="19">
        <f>SUBTOTAL(109,VacationExpenses[Column10])</f>
        <v>0</v>
      </c>
      <c r="K37" s="19">
        <f>SUBTOTAL(109,VacationExpenses[Column11])</f>
        <v>0</v>
      </c>
      <c r="L37" s="19">
        <f>SUBTOTAL(109,VacationExpenses[Column12])</f>
        <v>0</v>
      </c>
      <c r="M37" s="19">
        <f>SUBTOTAL(109,VacationExpenses[Column13])</f>
        <v>0</v>
      </c>
      <c r="N37" s="18">
        <f>SUBTOTAL(109,VacationExpenses[Column14])</f>
        <v>0</v>
      </c>
    </row>
    <row r="38" spans="1:14" ht="30" customHeight="1" thickBot="1">
      <c r="A38" s="10" t="s">
        <v>44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30" customHeight="1" thickBot="1">
      <c r="A39" s="7" t="s">
        <v>45</v>
      </c>
      <c r="B39" s="14">
        <v>25</v>
      </c>
      <c r="C39" s="14">
        <v>25</v>
      </c>
      <c r="D39" s="14">
        <v>25</v>
      </c>
      <c r="E39" s="14">
        <v>25</v>
      </c>
      <c r="F39" s="14">
        <v>25</v>
      </c>
      <c r="G39" s="14">
        <v>25</v>
      </c>
      <c r="H39" s="14">
        <v>25</v>
      </c>
      <c r="I39" s="14">
        <v>25</v>
      </c>
      <c r="J39" s="14">
        <v>25</v>
      </c>
      <c r="K39" s="14">
        <v>25</v>
      </c>
      <c r="L39" s="14">
        <v>25</v>
      </c>
      <c r="M39" s="14">
        <v>25</v>
      </c>
      <c r="N39" s="1">
        <f>SUM(RecreationExpenses[[#This Row],[Column2]:[Column13]])</f>
        <v>300</v>
      </c>
    </row>
    <row r="40" spans="1:14" ht="30" customHeight="1" thickBot="1">
      <c r="A40" s="7" t="s">
        <v>60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">
        <f>SUM(RecreationExpenses[[#This Row],[Column2]:[Column13]])</f>
        <v>0</v>
      </c>
    </row>
    <row r="41" spans="1:14" ht="30" customHeight="1" thickBot="1">
      <c r="A41" s="7" t="s">
        <v>20</v>
      </c>
      <c r="B41" s="19">
        <f>SUBTOTAL(109,RecreationExpenses[Column2])</f>
        <v>25</v>
      </c>
      <c r="C41" s="19">
        <f>SUBTOTAL(109,RecreationExpenses[Column3])</f>
        <v>25</v>
      </c>
      <c r="D41" s="19">
        <f>SUBTOTAL(109,RecreationExpenses[Column4])</f>
        <v>25</v>
      </c>
      <c r="E41" s="19">
        <f>SUBTOTAL(109,RecreationExpenses[Column5])</f>
        <v>25</v>
      </c>
      <c r="F41" s="19">
        <f>SUBTOTAL(109,RecreationExpenses[Column6])</f>
        <v>25</v>
      </c>
      <c r="G41" s="19">
        <f>SUBTOTAL(109,RecreationExpenses[Column7])</f>
        <v>25</v>
      </c>
      <c r="H41" s="19">
        <f>SUBTOTAL(109,RecreationExpenses[Column8])</f>
        <v>25</v>
      </c>
      <c r="I41" s="19">
        <f>SUBTOTAL(109,RecreationExpenses[Column9])</f>
        <v>25</v>
      </c>
      <c r="J41" s="19">
        <f>SUBTOTAL(109,RecreationExpenses[Column10])</f>
        <v>25</v>
      </c>
      <c r="K41" s="19">
        <f>SUBTOTAL(109,RecreationExpenses[Column11])</f>
        <v>25</v>
      </c>
      <c r="L41" s="19">
        <f>SUBTOTAL(109,RecreationExpenses[Column12])</f>
        <v>25</v>
      </c>
      <c r="M41" s="19">
        <f>SUBTOTAL(109,RecreationExpenses[Column13])</f>
        <v>25</v>
      </c>
      <c r="N41" s="17">
        <f>SUBTOTAL(109,RecreationExpenses[Column14])</f>
        <v>300</v>
      </c>
    </row>
    <row r="42" spans="1:14" ht="30" customHeight="1" thickBot="1">
      <c r="A42" s="10" t="s">
        <v>46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30" customHeight="1" thickBot="1">
      <c r="A43" s="7" t="s">
        <v>47</v>
      </c>
      <c r="B43" s="14">
        <v>14.97</v>
      </c>
      <c r="C43" s="14"/>
      <c r="D43" s="14"/>
      <c r="E43" s="14"/>
      <c r="F43" s="14">
        <v>15</v>
      </c>
      <c r="G43" s="14"/>
      <c r="H43" s="14"/>
      <c r="I43" s="14"/>
      <c r="J43" s="14">
        <v>15</v>
      </c>
      <c r="K43" s="14"/>
      <c r="L43" s="14"/>
      <c r="M43" s="14"/>
      <c r="N43" s="1">
        <f>SUM(DuesSubscriptionExpenses[[#This Row],[Column2]:[Column13]])</f>
        <v>44.97</v>
      </c>
    </row>
    <row r="44" spans="1:14" ht="30" customHeight="1" thickBot="1">
      <c r="A44" s="16" t="s">
        <v>48</v>
      </c>
      <c r="B44" s="14" t="s">
        <v>24</v>
      </c>
      <c r="C44" s="14" t="s">
        <v>24</v>
      </c>
      <c r="D44" s="14" t="s">
        <v>24</v>
      </c>
      <c r="E44" s="14" t="s">
        <v>24</v>
      </c>
      <c r="F44" s="14" t="s">
        <v>24</v>
      </c>
      <c r="G44" s="14" t="s">
        <v>24</v>
      </c>
      <c r="H44" s="14" t="s">
        <v>24</v>
      </c>
      <c r="I44" s="14" t="s">
        <v>24</v>
      </c>
      <c r="J44" s="14" t="s">
        <v>24</v>
      </c>
      <c r="K44" s="14" t="s">
        <v>24</v>
      </c>
      <c r="L44" s="14">
        <v>100</v>
      </c>
      <c r="M44" s="14" t="s">
        <v>24</v>
      </c>
      <c r="N44" s="5">
        <f>SUM(DuesSubscriptionExpenses[[#This Row],[Column2]:[Column13]])</f>
        <v>100</v>
      </c>
    </row>
    <row r="45" spans="1:14" ht="30" customHeight="1" thickBot="1">
      <c r="A45" s="7" t="s">
        <v>49</v>
      </c>
      <c r="B45" s="14" t="s">
        <v>24</v>
      </c>
      <c r="C45" s="14" t="s">
        <v>24</v>
      </c>
      <c r="D45" s="14" t="s">
        <v>24</v>
      </c>
      <c r="E45" s="14" t="s">
        <v>24</v>
      </c>
      <c r="F45" s="14" t="s">
        <v>24</v>
      </c>
      <c r="G45" s="14" t="s">
        <v>24</v>
      </c>
      <c r="H45" s="14" t="s">
        <v>24</v>
      </c>
      <c r="I45" s="14" t="s">
        <v>24</v>
      </c>
      <c r="J45" s="14" t="s">
        <v>24</v>
      </c>
      <c r="K45" s="14" t="s">
        <v>24</v>
      </c>
      <c r="L45" s="14">
        <v>20</v>
      </c>
      <c r="M45" s="14" t="s">
        <v>24</v>
      </c>
      <c r="N45" s="1">
        <f>SUM(DuesSubscriptionExpenses[[#This Row],[Column2]:[Column13]])</f>
        <v>20</v>
      </c>
    </row>
    <row r="46" spans="1:14" ht="30" customHeight="1" thickBot="1">
      <c r="A46" s="16" t="s">
        <v>50</v>
      </c>
      <c r="B46" s="14" t="s">
        <v>24</v>
      </c>
      <c r="C46" s="14" t="s">
        <v>24</v>
      </c>
      <c r="D46" s="14" t="s">
        <v>24</v>
      </c>
      <c r="E46" s="14" t="s">
        <v>24</v>
      </c>
      <c r="F46" s="14" t="s">
        <v>24</v>
      </c>
      <c r="G46" s="14" t="s">
        <v>24</v>
      </c>
      <c r="H46" s="14" t="s">
        <v>24</v>
      </c>
      <c r="I46" s="14" t="s">
        <v>24</v>
      </c>
      <c r="J46" s="14">
        <v>30</v>
      </c>
      <c r="K46" s="14" t="s">
        <v>24</v>
      </c>
      <c r="L46" s="14" t="s">
        <v>24</v>
      </c>
      <c r="M46" s="14" t="s">
        <v>24</v>
      </c>
      <c r="N46" s="5">
        <f>SUM(DuesSubscriptionExpenses[[#This Row],[Column2]:[Column13]])</f>
        <v>30</v>
      </c>
    </row>
    <row r="47" spans="1:14" ht="30" customHeight="1" thickBot="1">
      <c r="A47" s="7" t="s">
        <v>20</v>
      </c>
      <c r="B47" s="19">
        <f>SUBTOTAL(109,DuesSubscriptionExpenses[Column2])</f>
        <v>14.97</v>
      </c>
      <c r="C47" s="19">
        <f>SUBTOTAL(109,DuesSubscriptionExpenses[Column3])</f>
        <v>0</v>
      </c>
      <c r="D47" s="19">
        <f>SUBTOTAL(109,DuesSubscriptionExpenses[Column4])</f>
        <v>0</v>
      </c>
      <c r="E47" s="19">
        <f>SUBTOTAL(109,DuesSubscriptionExpenses[Column5])</f>
        <v>0</v>
      </c>
      <c r="F47" s="19">
        <f>SUBTOTAL(109,DuesSubscriptionExpenses[Column6])</f>
        <v>15</v>
      </c>
      <c r="G47" s="19">
        <f>SUBTOTAL(109,DuesSubscriptionExpenses[Column7])</f>
        <v>0</v>
      </c>
      <c r="H47" s="19">
        <f>SUBTOTAL(109,DuesSubscriptionExpenses[Column8])</f>
        <v>0</v>
      </c>
      <c r="I47" s="19">
        <f>SUBTOTAL(109,DuesSubscriptionExpenses[Column9])</f>
        <v>0</v>
      </c>
      <c r="J47" s="19">
        <f>SUBTOTAL(109,DuesSubscriptionExpenses[Column10])</f>
        <v>45</v>
      </c>
      <c r="K47" s="19">
        <f>SUBTOTAL(109,DuesSubscriptionExpenses[Column11])</f>
        <v>0</v>
      </c>
      <c r="L47" s="19">
        <f>SUBTOTAL(109,DuesSubscriptionExpenses[Column12])</f>
        <v>120</v>
      </c>
      <c r="M47" s="19">
        <f>SUBTOTAL(109,DuesSubscriptionExpenses[Column13])</f>
        <v>0</v>
      </c>
      <c r="N47" s="18">
        <f>SUBTOTAL(109,DuesSubscriptionExpenses[Column14])</f>
        <v>194.97</v>
      </c>
    </row>
    <row r="48" spans="1:14" ht="30" customHeight="1" thickBot="1">
      <c r="A48" s="10" t="s">
        <v>51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ht="30" customHeight="1" thickBot="1">
      <c r="A49" s="7" t="s">
        <v>52</v>
      </c>
      <c r="B49" s="14">
        <v>20</v>
      </c>
      <c r="C49" s="14">
        <v>20</v>
      </c>
      <c r="D49" s="14">
        <v>20</v>
      </c>
      <c r="E49" s="14">
        <v>20</v>
      </c>
      <c r="F49" s="14">
        <v>20</v>
      </c>
      <c r="G49" s="14">
        <v>20</v>
      </c>
      <c r="H49" s="14">
        <v>20</v>
      </c>
      <c r="I49" s="14">
        <v>20</v>
      </c>
      <c r="J49" s="14">
        <v>20</v>
      </c>
      <c r="K49" s="14">
        <v>20</v>
      </c>
      <c r="L49" s="14">
        <v>20</v>
      </c>
      <c r="M49" s="14">
        <v>20</v>
      </c>
      <c r="N49" s="1">
        <f>SUM(PersonalExpenses[[#This Row],[Column2]:[Column13]])</f>
        <v>240</v>
      </c>
    </row>
    <row r="50" spans="1:14" ht="30" customHeight="1" thickBot="1">
      <c r="A50" s="7" t="s">
        <v>53</v>
      </c>
      <c r="B50" s="14"/>
      <c r="C50" s="14"/>
      <c r="D50" s="14">
        <v>20</v>
      </c>
      <c r="E50" s="14">
        <v>40</v>
      </c>
      <c r="F50" s="14"/>
      <c r="G50" s="14">
        <v>10</v>
      </c>
      <c r="H50" s="14">
        <v>30</v>
      </c>
      <c r="I50" s="14"/>
      <c r="J50" s="14">
        <v>10</v>
      </c>
      <c r="K50" s="14">
        <v>60</v>
      </c>
      <c r="L50" s="14"/>
      <c r="M50" s="14">
        <v>100</v>
      </c>
      <c r="N50" s="1">
        <f>SUM(PersonalExpenses[[#This Row],[Column2]:[Column13]])</f>
        <v>270</v>
      </c>
    </row>
    <row r="51" spans="1:14" ht="30" customHeight="1" thickBot="1">
      <c r="A51" s="7" t="s">
        <v>54</v>
      </c>
      <c r="B51" s="14">
        <v>70</v>
      </c>
      <c r="C51" s="14"/>
      <c r="D51" s="14">
        <v>70</v>
      </c>
      <c r="E51" s="14"/>
      <c r="F51" s="14">
        <v>70</v>
      </c>
      <c r="G51" s="14"/>
      <c r="H51" s="14">
        <v>70</v>
      </c>
      <c r="I51" s="14"/>
      <c r="J51" s="14">
        <v>70</v>
      </c>
      <c r="K51" s="14"/>
      <c r="L51" s="14">
        <v>70</v>
      </c>
      <c r="M51" s="14"/>
      <c r="N51" s="1">
        <f>SUM(PersonalExpenses[[#This Row],[Column2]:[Column13]])</f>
        <v>420</v>
      </c>
    </row>
    <row r="52" spans="1:14" ht="30" customHeight="1" thickBot="1">
      <c r="A52" s="7" t="s">
        <v>20</v>
      </c>
      <c r="B52" s="19">
        <f>SUBTOTAL(109,PersonalExpenses[Column2])</f>
        <v>90</v>
      </c>
      <c r="C52" s="19">
        <f>SUBTOTAL(109,PersonalExpenses[Column3])</f>
        <v>20</v>
      </c>
      <c r="D52" s="19">
        <f>SUBTOTAL(109,PersonalExpenses[Column4])</f>
        <v>110</v>
      </c>
      <c r="E52" s="19">
        <f>SUBTOTAL(109,PersonalExpenses[Column5])</f>
        <v>60</v>
      </c>
      <c r="F52" s="19">
        <f>SUBTOTAL(109,PersonalExpenses[Column6])</f>
        <v>90</v>
      </c>
      <c r="G52" s="19">
        <f>SUBTOTAL(109,PersonalExpenses[Column7])</f>
        <v>30</v>
      </c>
      <c r="H52" s="19">
        <f>SUBTOTAL(109,PersonalExpenses[Column8])</f>
        <v>120</v>
      </c>
      <c r="I52" s="19">
        <f>SUBTOTAL(109,PersonalExpenses[Column9])</f>
        <v>20</v>
      </c>
      <c r="J52" s="19">
        <f>SUBTOTAL(109,PersonalExpenses[Column10])</f>
        <v>100</v>
      </c>
      <c r="K52" s="19">
        <f>SUBTOTAL(109,PersonalExpenses[Column11])</f>
        <v>80</v>
      </c>
      <c r="L52" s="19">
        <f>SUBTOTAL(109,PersonalExpenses[Column12])</f>
        <v>90</v>
      </c>
      <c r="M52" s="19">
        <f>SUBTOTAL(109,PersonalExpenses[Column13])</f>
        <v>120</v>
      </c>
      <c r="N52" s="17">
        <f>SUBTOTAL(109,PersonalExpenses[Column14])</f>
        <v>930</v>
      </c>
    </row>
    <row r="53" spans="1:14" ht="30" customHeight="1" thickBot="1">
      <c r="A53" s="10" t="s">
        <v>55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ht="30" customHeight="1" thickBot="1">
      <c r="A54" s="7" t="s">
        <v>56</v>
      </c>
      <c r="B54" s="14">
        <v>200</v>
      </c>
      <c r="C54" s="14">
        <v>200</v>
      </c>
      <c r="D54" s="14">
        <v>200</v>
      </c>
      <c r="E54" s="14">
        <v>200</v>
      </c>
      <c r="F54" s="14">
        <v>200</v>
      </c>
      <c r="G54" s="14">
        <v>200</v>
      </c>
      <c r="H54" s="14">
        <v>200</v>
      </c>
      <c r="I54" s="14">
        <v>200</v>
      </c>
      <c r="J54" s="14">
        <v>200</v>
      </c>
      <c r="K54" s="14">
        <v>200</v>
      </c>
      <c r="L54" s="14">
        <v>200</v>
      </c>
      <c r="M54" s="14">
        <v>200</v>
      </c>
      <c r="N54" s="1">
        <f>SUM(FinancialExpenses[[#This Row],[Column2]:[Column13]])</f>
        <v>2400</v>
      </c>
    </row>
    <row r="55" spans="1:14" ht="30" customHeight="1" thickBot="1">
      <c r="A55" s="7" t="s">
        <v>20</v>
      </c>
      <c r="B55" s="14">
        <f>SUBTOTAL(109,FinancialExpenses[Column2])</f>
        <v>200</v>
      </c>
      <c r="C55" s="14">
        <f>SUBTOTAL(109,FinancialExpenses[Column3])</f>
        <v>200</v>
      </c>
      <c r="D55" s="14">
        <f>SUBTOTAL(109,FinancialExpenses[Column4])</f>
        <v>200</v>
      </c>
      <c r="E55" s="14">
        <f>SUBTOTAL(109,FinancialExpenses[Column5])</f>
        <v>200</v>
      </c>
      <c r="F55" s="14">
        <f>SUBTOTAL(109,FinancialExpenses[Column6])</f>
        <v>200</v>
      </c>
      <c r="G55" s="14">
        <f>SUBTOTAL(109,FinancialExpenses[Column7])</f>
        <v>200</v>
      </c>
      <c r="H55" s="14">
        <f>SUBTOTAL(109,FinancialExpenses[Column8])</f>
        <v>200</v>
      </c>
      <c r="I55" s="14">
        <f>SUBTOTAL(109,FinancialExpenses[Column9])</f>
        <v>200</v>
      </c>
      <c r="J55" s="14">
        <f>SUBTOTAL(109,FinancialExpenses[Column10])</f>
        <v>200</v>
      </c>
      <c r="K55" s="14">
        <f>SUBTOTAL(109,FinancialExpenses[Column11])</f>
        <v>200</v>
      </c>
      <c r="L55" s="14">
        <f>SUBTOTAL(109,FinancialExpenses[Column12])</f>
        <v>200</v>
      </c>
      <c r="M55" s="14">
        <f>SUBTOTAL(109,FinancialExpenses[Column13])</f>
        <v>200</v>
      </c>
      <c r="N55" s="1">
        <f>SUBTOTAL(109,FinancialExpenses[Column14])</f>
        <v>2400</v>
      </c>
    </row>
    <row r="56" spans="1:14" ht="30" customHeight="1" thickBot="1">
      <c r="A56" s="10" t="s">
        <v>57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ht="30" customHeight="1" thickBot="1">
      <c r="A57" s="16" t="s">
        <v>58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5">
        <f>SUM(MiscExpenses[[#This Row],[Column2]:[Column13]])</f>
        <v>0</v>
      </c>
    </row>
    <row r="58" spans="1:14" ht="30" customHeight="1" thickBot="1">
      <c r="A58" s="16" t="s">
        <v>59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5">
        <f>SUM(MiscExpenses[[#This Row],[Column2]:[Column13]])</f>
        <v>0</v>
      </c>
    </row>
    <row r="59" spans="1:14" ht="30" customHeight="1" thickBot="1">
      <c r="A59" s="7" t="s">
        <v>20</v>
      </c>
      <c r="B59" s="19">
        <f>SUBTOTAL(109,MiscExpenses[Column2])</f>
        <v>0</v>
      </c>
      <c r="C59" s="19">
        <f>SUBTOTAL(109,MiscExpenses[Column3])</f>
        <v>0</v>
      </c>
      <c r="D59" s="19">
        <f>SUBTOTAL(109,MiscExpenses[Column4])</f>
        <v>0</v>
      </c>
      <c r="E59" s="19">
        <f>SUBTOTAL(109,MiscExpenses[Column5])</f>
        <v>0</v>
      </c>
      <c r="F59" s="19">
        <f>SUBTOTAL(109,MiscExpenses[Column6])</f>
        <v>0</v>
      </c>
      <c r="G59" s="19">
        <f>SUBTOTAL(109,MiscExpenses[Column7])</f>
        <v>0</v>
      </c>
      <c r="H59" s="19">
        <f>SUBTOTAL(109,MiscExpenses[Column8])</f>
        <v>0</v>
      </c>
      <c r="I59" s="19">
        <f>SUBTOTAL(109,MiscExpenses[Column9])</f>
        <v>0</v>
      </c>
      <c r="J59" s="19">
        <f>SUBTOTAL(109,MiscExpenses[Column10])</f>
        <v>0</v>
      </c>
      <c r="K59" s="19">
        <f>SUBTOTAL(109,MiscExpenses[Column11])</f>
        <v>0</v>
      </c>
      <c r="L59" s="19">
        <f>SUBTOTAL(109,MiscExpenses[Column12])</f>
        <v>0</v>
      </c>
      <c r="M59" s="19">
        <f>SUBTOTAL(109,MiscExpenses[Column13])</f>
        <v>0</v>
      </c>
      <c r="N59" s="18">
        <f>SUBTOTAL(109,MiscExpenses[Column14])</f>
        <v>0</v>
      </c>
    </row>
  </sheetData>
  <phoneticPr fontId="0" type="noConversion"/>
  <conditionalFormatting sqref="B4:N4">
    <cfRule type="iconSet" priority="1">
      <iconSet iconSet="3Arrows">
        <cfvo type="percentile" val="0"/>
        <cfvo type="num" val="0"/>
        <cfvo type="num" val="1"/>
      </iconSet>
    </cfRule>
  </conditionalFormatting>
  <printOptions horizontalCentered="1"/>
  <pageMargins left="0.5" right="0.5" top="0.75" bottom="0.75" header="0.5" footer="0.5"/>
  <pageSetup fitToHeight="0" orientation="landscape" horizontalDpi="200" verticalDpi="200" r:id="rId1"/>
  <headerFooter differentFirst="1" alignWithMargins="0">
    <oddFooter>Page &amp;P of &amp;N</oddFooter>
  </headerFooter>
  <ignoredErrors>
    <ignoredError sqref="N6:N8 N12 N16 N20:N21 N25:N26 N33:N34 N39 N45 N49:N51 N54 N43 N40 N17 N13 N22 N29 N30 N35:N36" emptyCellReference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budget</vt:lpstr>
      <vt:lpstr>'Personal budget'!Print_Titles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Ellen Morton</dc:creator>
  <cp:keywords/>
  <dc:description/>
  <cp:lastModifiedBy>Hannah Morton</cp:lastModifiedBy>
  <cp:revision/>
  <dcterms:created xsi:type="dcterms:W3CDTF">2016-11-01T06:17:17Z</dcterms:created>
  <dcterms:modified xsi:type="dcterms:W3CDTF">2018-02-09T00:35:27Z</dcterms:modified>
  <cp:category/>
  <cp:contentStatus/>
</cp:coreProperties>
</file>